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384" windowHeight="8796" activeTab="0"/>
  </bookViews>
  <sheets>
    <sheet name="Summary" sheetId="1" r:id="rId1"/>
    <sheet name="Comparison" sheetId="2" r:id="rId2"/>
    <sheet name="Hybrid" sheetId="3" r:id="rId3"/>
    <sheet name="Data" sheetId="4" r:id="rId4"/>
  </sheets>
  <definedNames>
    <definedName name="_xlnm.Print_Area" localSheetId="2">'Hybrid'!$A$1:$K$33</definedName>
    <definedName name="_xlnm.Print_Area" localSheetId="0">'Summary'!$A$4:$C$48</definedName>
    <definedName name="_xlnm.Print_Titles" localSheetId="0">'Summary'!$1:$3</definedName>
  </definedNames>
  <calcPr calcMode="manual" fullCalcOnLoad="1"/>
</workbook>
</file>

<file path=xl/sharedStrings.xml><?xml version="1.0" encoding="utf-8"?>
<sst xmlns="http://schemas.openxmlformats.org/spreadsheetml/2006/main" count="172" uniqueCount="101">
  <si>
    <t>Plan Assumptions</t>
  </si>
  <si>
    <t>Demographic Assumptions</t>
  </si>
  <si>
    <t>DC Investment Returns</t>
  </si>
  <si>
    <t>DB Benefit Factor</t>
  </si>
  <si>
    <t>DB COLA Factor</t>
  </si>
  <si>
    <t>Starting Salary</t>
  </si>
  <si>
    <t>Salary Growth Factor</t>
  </si>
  <si>
    <t>Analyst</t>
  </si>
  <si>
    <t>Version</t>
  </si>
  <si>
    <t>Shearer</t>
  </si>
  <si>
    <t>Date/Time</t>
  </si>
  <si>
    <t>Retirement Age</t>
  </si>
  <si>
    <t>Career Duration (years)</t>
  </si>
  <si>
    <t>Pre Retirement</t>
  </si>
  <si>
    <t>Salary</t>
  </si>
  <si>
    <t>Year</t>
  </si>
  <si>
    <t>Final Average Salary</t>
  </si>
  <si>
    <t>Base Benefit</t>
  </si>
  <si>
    <t>Final Average Salary includes (x years)</t>
  </si>
  <si>
    <t>Benefits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</si>
  <si>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</si>
  <si>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</si>
  <si>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</si>
  <si>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</si>
  <si>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</si>
  <si>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</si>
  <si>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</si>
  <si>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</si>
  <si>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</si>
  <si>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</si>
  <si>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</si>
  <si>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</si>
  <si>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</si>
  <si>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</si>
  <si>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</si>
  <si>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</si>
  <si>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</si>
  <si>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</si>
  <si>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</si>
  <si>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</si>
  <si>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Defined Benefit</t>
  </si>
  <si>
    <t>Defined Contribution</t>
  </si>
  <si>
    <t>Payout</t>
  </si>
  <si>
    <t>Contributions</t>
  </si>
  <si>
    <t>Earnings</t>
  </si>
  <si>
    <t>Account Balance</t>
  </si>
  <si>
    <t>Beg Bal</t>
  </si>
  <si>
    <t>Payment</t>
  </si>
  <si>
    <t>End Bal</t>
  </si>
  <si>
    <t>Death Ben</t>
  </si>
  <si>
    <t>Annuity</t>
  </si>
  <si>
    <t>Theoretical Benefit</t>
  </si>
  <si>
    <t>Total</t>
  </si>
  <si>
    <t>Est. Social Security</t>
  </si>
  <si>
    <t>Expected Payout (years)</t>
  </si>
  <si>
    <t xml:space="preserve">Final Average Salary = </t>
  </si>
  <si>
    <t>Post Retirement Defined Benefit</t>
  </si>
  <si>
    <t>DC Mandatory Employer Contribution</t>
  </si>
  <si>
    <t>DC Mandatory Employer Match</t>
  </si>
  <si>
    <t>DC Mandatory Employee Contribution</t>
  </si>
  <si>
    <t>DC Voluntary EE Matchable Contribution</t>
  </si>
  <si>
    <t>DC Voluntary EE Non-Matchable Contribution</t>
  </si>
  <si>
    <t>Total Cont Rate</t>
  </si>
  <si>
    <t>Age</t>
  </si>
  <si>
    <t>Total Retirement Income</t>
  </si>
  <si>
    <t>Defined Benefit Plan</t>
  </si>
  <si>
    <t>Defined Contribution Plan - Basic</t>
  </si>
  <si>
    <t>Defined Contribution Plan - Weighted</t>
  </si>
  <si>
    <t>Defined Contrib. Benefit</t>
  </si>
  <si>
    <t>Initial Replacement Ratio</t>
  </si>
  <si>
    <t>Age 67 Replacement Ratio</t>
  </si>
  <si>
    <t>5 Year SSA Offset</t>
  </si>
  <si>
    <t>Year 0</t>
  </si>
  <si>
    <t>Endbal</t>
  </si>
  <si>
    <t>BegBal</t>
  </si>
  <si>
    <t>New Benefit</t>
  </si>
  <si>
    <t>Inflation</t>
  </si>
  <si>
    <r>
      <t>Est. Social Security</t>
    </r>
    <r>
      <rPr>
        <b/>
        <vertAlign val="superscript"/>
        <sz val="8"/>
        <rFont val="Tahoma"/>
        <family val="2"/>
      </rPr>
      <t>*</t>
    </r>
  </si>
  <si>
    <r>
      <t>Defined Contrib. Benefit</t>
    </r>
    <r>
      <rPr>
        <b/>
        <vertAlign val="superscript"/>
        <sz val="10"/>
        <rFont val="Tahoma"/>
        <family val="2"/>
      </rPr>
      <t>^</t>
    </r>
  </si>
  <si>
    <t>*</t>
  </si>
  <si>
    <t>Per SSA Website Quick Calculator - Current Age 32, current salary $28,000</t>
  </si>
  <si>
    <t>^</t>
  </si>
  <si>
    <t>Distribution front loaded to provide equalized benefit when combined with SSA</t>
  </si>
  <si>
    <t>DC Early Weighted Payout</t>
  </si>
  <si>
    <t>DB with Cola</t>
  </si>
  <si>
    <t>DC Straight Line Payout</t>
  </si>
  <si>
    <t>Per Mark J.</t>
  </si>
  <si>
    <t>Per SSA Website Quick Calculator</t>
  </si>
  <si>
    <t>Assumed Payout Duration</t>
  </si>
  <si>
    <t>Outputs</t>
  </si>
  <si>
    <t>No PERS DB; DC Straight Line Payout</t>
  </si>
  <si>
    <t>No PERS DB; DC Early Weighted Payout</t>
  </si>
  <si>
    <t>Benefit Composition</t>
  </si>
  <si>
    <t>Total SSA Income</t>
  </si>
  <si>
    <t>Defined Benefit Income</t>
  </si>
  <si>
    <t>Defined Contribution Income</t>
  </si>
  <si>
    <t>Total DC Plan Income</t>
  </si>
  <si>
    <t>Total DB Plan Income</t>
  </si>
  <si>
    <t>Age 84 Inflation Adjusted RR</t>
  </si>
  <si>
    <t>Rich040303 - Case 1</t>
  </si>
  <si>
    <t>Final Account Balance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</si>
</sst>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$&quot;#,##0.0_);[Red]\(&quot;$&quot;#,##0.0\)"/>
    <numFmt numFmtId="169" formatCode="0.0%"/>
    <numFmt numFmtId="170" formatCode="0.000%"/>
    <numFmt numFmtId="171" formatCode="_(* #,##0.000_);_(* \(#,##0.000\);_(* &quot;-&quot;??_);_(@_)"/>
    <numFmt numFmtId="172" formatCode="_(* #,##0.0000_);_(* \(#,##0.0000\);_(* &quot;-&quot;??_);_(@_)"/>
  </numFmts>
  <fonts count="11">
    <font>
      <sz val="12"/>
      <name val="Tahoma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b/>
      <vertAlign val="superscript"/>
      <sz val="8"/>
      <name val="Tahoma"/>
      <family val="2"/>
    </font>
    <font>
      <u val="single"/>
      <sz val="12"/>
      <color indexed="12"/>
      <name val="Tahoma"/>
      <family val="0"/>
    </font>
    <font>
      <u val="single"/>
      <sz val="12"/>
      <color indexed="36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b/>
      <sz val="8.5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15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" fillId="6" borderId="0" xfId="0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0" fontId="1" fillId="7" borderId="0" xfId="0" applyFont="1" applyFill="1" applyAlignment="1">
      <alignment horizontal="right"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6" fontId="0" fillId="0" borderId="0" xfId="15" applyNumberFormat="1" applyAlignment="1">
      <alignment horizontal="right"/>
    </xf>
    <xf numFmtId="166" fontId="0" fillId="0" borderId="0" xfId="15" applyNumberFormat="1" applyFill="1" applyAlignment="1">
      <alignment horizontal="right"/>
    </xf>
    <xf numFmtId="166" fontId="0" fillId="0" borderId="0" xfId="15" applyNumberFormat="1" applyFont="1" applyAlignment="1">
      <alignment horizontal="right"/>
    </xf>
    <xf numFmtId="3" fontId="0" fillId="0" borderId="0" xfId="15" applyNumberFormat="1" applyAlignment="1">
      <alignment/>
    </xf>
    <xf numFmtId="166" fontId="0" fillId="8" borderId="0" xfId="15" applyNumberFormat="1" applyFill="1" applyAlignment="1">
      <alignment horizontal="right"/>
    </xf>
    <xf numFmtId="166" fontId="0" fillId="8" borderId="0" xfId="15" applyNumberFormat="1" applyFont="1" applyFill="1" applyAlignment="1">
      <alignment horizontal="right"/>
    </xf>
    <xf numFmtId="3" fontId="0" fillId="9" borderId="0" xfId="0" applyNumberFormat="1" applyFill="1" applyAlignment="1">
      <alignment horizontal="right"/>
    </xf>
    <xf numFmtId="0" fontId="0" fillId="3" borderId="0" xfId="0" applyFill="1" applyAlignment="1">
      <alignment/>
    </xf>
    <xf numFmtId="10" fontId="0" fillId="0" borderId="0" xfId="0" applyNumberFormat="1" applyAlignment="1">
      <alignment/>
    </xf>
    <xf numFmtId="166" fontId="0" fillId="0" borderId="0" xfId="15" applyNumberFormat="1" applyAlignment="1">
      <alignment/>
    </xf>
    <xf numFmtId="38" fontId="0" fillId="0" borderId="0" xfId="15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166" fontId="3" fillId="0" borderId="0" xfId="15" applyNumberFormat="1" applyFont="1" applyAlignment="1">
      <alignment horizontal="center" wrapText="1"/>
    </xf>
    <xf numFmtId="166" fontId="2" fillId="0" borderId="0" xfId="15" applyNumberFormat="1" applyFont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0" fontId="2" fillId="0" borderId="0" xfId="21" applyNumberFormat="1" applyFont="1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" fillId="7" borderId="0" xfId="15" applyNumberFormat="1" applyFont="1" applyFill="1" applyAlignment="1">
      <alignment horizontal="right"/>
    </xf>
    <xf numFmtId="3" fontId="0" fillId="0" borderId="0" xfId="15" applyNumberFormat="1" applyFont="1" applyAlignment="1">
      <alignment/>
    </xf>
    <xf numFmtId="10" fontId="0" fillId="0" borderId="0" xfId="21" applyNumberFormat="1" applyAlignment="1">
      <alignment horizontal="right"/>
    </xf>
    <xf numFmtId="10" fontId="3" fillId="0" borderId="0" xfId="0" applyNumberFormat="1" applyFont="1" applyAlignment="1">
      <alignment horizontal="center" wrapText="1"/>
    </xf>
    <xf numFmtId="0" fontId="0" fillId="7" borderId="0" xfId="0" applyFill="1" applyAlignment="1">
      <alignment/>
    </xf>
    <xf numFmtId="166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/>
    </xf>
    <xf numFmtId="166" fontId="2" fillId="0" borderId="0" xfId="0" applyNumberFormat="1" applyFont="1" applyAlignment="1">
      <alignment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6" fontId="2" fillId="0" borderId="0" xfId="15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Tahoma"/>
                <a:ea typeface="Tahoma"/>
                <a:cs typeface="Tahoma"/>
              </a:rPr>
              <a:t>Retirement Income - By Source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solidDmnd">
                <a:fgClr>
                  <a:srgbClr val="FFCC99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Summary!$E$27:$E$29</c:f>
              <c:strCache/>
            </c:strRef>
          </c:cat>
          <c:val>
            <c:numRef>
              <c:f>Summary!$F$27:$F$29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Retirement Income - By Type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Dmnd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4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Summary!$G$27:$G$28</c:f>
              <c:strCache/>
            </c:strRef>
          </c:cat>
          <c:val>
            <c:numRef>
              <c:f>Summary!$H$27:$H$28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9525</xdr:rowOff>
    </xdr:from>
    <xdr:to>
      <xdr:col>1</xdr:col>
      <xdr:colOff>1009650</xdr:colOff>
      <xdr:row>38</xdr:row>
      <xdr:rowOff>104775</xdr:rowOff>
    </xdr:to>
    <xdr:graphicFrame>
      <xdr:nvGraphicFramePr>
        <xdr:cNvPr id="1" name="Chart 5"/>
        <xdr:cNvGraphicFramePr/>
      </xdr:nvGraphicFramePr>
      <xdr:xfrm>
        <a:off x="104775" y="5153025"/>
        <a:ext cx="40957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38</xdr:row>
      <xdr:rowOff>180975</xdr:rowOff>
    </xdr:from>
    <xdr:to>
      <xdr:col>1</xdr:col>
      <xdr:colOff>990600</xdr:colOff>
      <xdr:row>48</xdr:row>
      <xdr:rowOff>161925</xdr:rowOff>
    </xdr:to>
    <xdr:graphicFrame>
      <xdr:nvGraphicFramePr>
        <xdr:cNvPr id="2" name="Chart 6"/>
        <xdr:cNvGraphicFramePr/>
      </xdr:nvGraphicFramePr>
      <xdr:xfrm>
        <a:off x="95250" y="7229475"/>
        <a:ext cx="40862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C14" sqref="C14"/>
    </sheetView>
  </sheetViews>
  <sheetFormatPr defaultColWidth="8.88671875" defaultRowHeight="15"/>
  <cols>
    <col min="1" max="1" width="37.21484375" style="0" bestFit="1" customWidth="1"/>
    <col min="2" max="3" width="20.77734375" style="0" customWidth="1"/>
    <col min="4" max="4" width="9.21484375" style="0" bestFit="1" customWidth="1"/>
    <col min="5" max="5" width="19.77734375" style="0" bestFit="1" customWidth="1"/>
    <col min="6" max="6" width="20.77734375" style="9" customWidth="1"/>
    <col min="7" max="7" width="18.3359375" style="9" bestFit="1" customWidth="1"/>
    <col min="8" max="8" width="8.21484375" style="0" bestFit="1" customWidth="1"/>
    <col min="9" max="9" width="3.4453125" style="60" bestFit="1" customWidth="1"/>
  </cols>
  <sheetData>
    <row r="1" spans="1:5" ht="15">
      <c r="A1" s="2" t="s">
        <v>7</v>
      </c>
      <c r="B1" s="11" t="s">
        <v>9</v>
      </c>
      <c r="C1" s="11"/>
      <c r="D1" s="32" t="str">
        <f>+A1</f>
        <v>Analyst</v>
      </c>
      <c r="E1" s="11" t="str">
        <f>+B1</f>
        <v>Shearer</v>
      </c>
    </row>
    <row r="2" spans="1:5" ht="15">
      <c r="A2" s="2" t="s">
        <v>10</v>
      </c>
      <c r="B2" s="12">
        <f ca="1">NOW()</f>
        <v>37728.32204131944</v>
      </c>
      <c r="C2" s="11"/>
      <c r="D2" s="32" t="str">
        <f>+A2</f>
        <v>Date/Time</v>
      </c>
      <c r="E2" s="12">
        <f ca="1">NOW()</f>
        <v>37728.32204131944</v>
      </c>
    </row>
    <row r="3" spans="1:5" ht="15">
      <c r="A3" s="2" t="s">
        <v>8</v>
      </c>
      <c r="B3" s="11" t="s">
        <v>99</v>
      </c>
      <c r="C3" s="11"/>
      <c r="D3" s="32" t="str">
        <f>+A3</f>
        <v>Version</v>
      </c>
      <c r="E3" s="11" t="str">
        <f>+B3</f>
        <v>Rich040303 - Case 1</v>
      </c>
    </row>
    <row r="4" spans="2:3" ht="15">
      <c r="B4" s="11"/>
      <c r="C4" s="11"/>
    </row>
    <row r="5" spans="1:8" ht="15">
      <c r="A5" s="14" t="s">
        <v>0</v>
      </c>
      <c r="B5" s="11"/>
      <c r="C5" s="11"/>
      <c r="D5" s="20" t="s">
        <v>19</v>
      </c>
      <c r="E5" s="21" t="s">
        <v>40</v>
      </c>
      <c r="F5" s="51" t="s">
        <v>41</v>
      </c>
      <c r="G5" s="51" t="s">
        <v>53</v>
      </c>
      <c r="H5" s="21" t="s">
        <v>52</v>
      </c>
    </row>
    <row r="6" spans="1:9" ht="15">
      <c r="A6" t="s">
        <v>3</v>
      </c>
      <c r="B6" s="13">
        <v>0</v>
      </c>
      <c r="C6" s="11"/>
      <c r="D6" s="18" t="s">
        <v>20</v>
      </c>
      <c r="E6" s="19">
        <f>+Data!C19</f>
        <v>0</v>
      </c>
      <c r="F6" s="52">
        <f>+Data!N19</f>
        <v>75256.58704622036</v>
      </c>
      <c r="G6" s="9">
        <v>0</v>
      </c>
      <c r="H6" s="7">
        <f aca="true" t="shared" si="0" ref="H6:H25">SUM(E6:G6)</f>
        <v>75256.58704622036</v>
      </c>
      <c r="I6" s="61">
        <f>+B19</f>
        <v>65</v>
      </c>
    </row>
    <row r="7" spans="1:9" ht="15">
      <c r="A7" t="s">
        <v>4</v>
      </c>
      <c r="B7" s="13">
        <v>0</v>
      </c>
      <c r="C7" s="11"/>
      <c r="D7" s="18" t="s">
        <v>21</v>
      </c>
      <c r="E7" s="19">
        <f>+Data!C20</f>
        <v>0</v>
      </c>
      <c r="F7" s="52">
        <f>+Data!N20</f>
        <v>75256.58704622036</v>
      </c>
      <c r="G7" s="9">
        <v>0</v>
      </c>
      <c r="H7" s="7">
        <f t="shared" si="0"/>
        <v>75256.58704622036</v>
      </c>
      <c r="I7" s="61">
        <f>+I6+1</f>
        <v>66</v>
      </c>
    </row>
    <row r="8" spans="1:9" ht="15">
      <c r="A8" t="s">
        <v>57</v>
      </c>
      <c r="B8" s="13">
        <v>0.06</v>
      </c>
      <c r="C8" s="11"/>
      <c r="D8" s="18" t="s">
        <v>22</v>
      </c>
      <c r="E8" s="19">
        <f>+Data!C21</f>
        <v>0</v>
      </c>
      <c r="F8" s="52">
        <f>+Data!N21</f>
        <v>75256.58704622036</v>
      </c>
      <c r="G8" s="9">
        <f>12*3584</f>
        <v>43008</v>
      </c>
      <c r="H8" s="7">
        <f>SUM(E8:G8)</f>
        <v>118264.58704622036</v>
      </c>
      <c r="I8" s="61">
        <f aca="true" t="shared" si="1" ref="I8:I25">+I7+1</f>
        <v>67</v>
      </c>
    </row>
    <row r="9" spans="1:9" ht="15">
      <c r="A9" t="s">
        <v>59</v>
      </c>
      <c r="B9" s="13">
        <v>0</v>
      </c>
      <c r="C9" s="11"/>
      <c r="D9" s="18" t="s">
        <v>23</v>
      </c>
      <c r="E9" s="19">
        <f>+Data!C22</f>
        <v>0</v>
      </c>
      <c r="F9" s="52">
        <f>+Data!N22</f>
        <v>75256.58704622036</v>
      </c>
      <c r="G9" s="9">
        <f aca="true" t="shared" si="2" ref="G9:G17">+G8*(1+$B$15)</f>
        <v>44405.76</v>
      </c>
      <c r="H9" s="7">
        <f t="shared" si="0"/>
        <v>119662.34704622035</v>
      </c>
      <c r="I9" s="61">
        <f t="shared" si="1"/>
        <v>68</v>
      </c>
    </row>
    <row r="10" spans="1:9" ht="15">
      <c r="A10" t="s">
        <v>60</v>
      </c>
      <c r="B10" s="33">
        <v>0.06</v>
      </c>
      <c r="C10" s="11"/>
      <c r="D10" s="18" t="s">
        <v>24</v>
      </c>
      <c r="E10" s="19">
        <f>+Data!C23</f>
        <v>0</v>
      </c>
      <c r="F10" s="52">
        <f>+Data!N23</f>
        <v>75256.58704622036</v>
      </c>
      <c r="G10" s="9">
        <f t="shared" si="2"/>
        <v>45848.9472</v>
      </c>
      <c r="H10" s="7">
        <f>SUM(E10:G10)</f>
        <v>121105.53424622037</v>
      </c>
      <c r="I10" s="61">
        <f t="shared" si="1"/>
        <v>69</v>
      </c>
    </row>
    <row r="11" spans="1:9" ht="15">
      <c r="A11" t="s">
        <v>61</v>
      </c>
      <c r="B11" s="33">
        <v>0</v>
      </c>
      <c r="C11" s="11"/>
      <c r="D11" s="18" t="s">
        <v>25</v>
      </c>
      <c r="E11" s="19">
        <f>+Data!C24</f>
        <v>0</v>
      </c>
      <c r="F11" s="52">
        <f>+Data!N24</f>
        <v>75256.58704622036</v>
      </c>
      <c r="G11" s="9">
        <f t="shared" si="2"/>
        <v>47339.037984</v>
      </c>
      <c r="H11" s="7">
        <f>SUM(E11:G11)</f>
        <v>122595.62503022037</v>
      </c>
      <c r="I11" s="61">
        <f t="shared" si="1"/>
        <v>70</v>
      </c>
    </row>
    <row r="12" spans="1:9" ht="15">
      <c r="A12" t="s">
        <v>58</v>
      </c>
      <c r="B12" s="33">
        <v>0</v>
      </c>
      <c r="D12" s="18" t="s">
        <v>26</v>
      </c>
      <c r="E12" s="19">
        <f>+Data!C25</f>
        <v>0</v>
      </c>
      <c r="F12" s="52">
        <f>+Data!N25</f>
        <v>75256.58704622036</v>
      </c>
      <c r="G12" s="9">
        <f t="shared" si="2"/>
        <v>48877.55671848</v>
      </c>
      <c r="H12" s="7">
        <f t="shared" si="0"/>
        <v>124134.14376470036</v>
      </c>
      <c r="I12" s="61">
        <f t="shared" si="1"/>
        <v>71</v>
      </c>
    </row>
    <row r="13" spans="1:9" ht="15">
      <c r="A13" t="s">
        <v>2</v>
      </c>
      <c r="B13" s="13">
        <v>0.08</v>
      </c>
      <c r="D13" s="18" t="s">
        <v>27</v>
      </c>
      <c r="E13" s="19">
        <f>+Data!C26</f>
        <v>0</v>
      </c>
      <c r="F13" s="52">
        <f>+Data!N26</f>
        <v>75256.58704622036</v>
      </c>
      <c r="G13" s="9">
        <f t="shared" si="2"/>
        <v>50466.0773118306</v>
      </c>
      <c r="H13" s="7">
        <f>SUM(E13:G13)</f>
        <v>125722.66435805097</v>
      </c>
      <c r="I13" s="61">
        <f t="shared" si="1"/>
        <v>72</v>
      </c>
    </row>
    <row r="14" spans="1:9" ht="15">
      <c r="A14" t="s">
        <v>54</v>
      </c>
      <c r="B14" s="25">
        <v>20</v>
      </c>
      <c r="D14" s="18" t="s">
        <v>28</v>
      </c>
      <c r="E14" s="19">
        <f>+Data!C27</f>
        <v>0</v>
      </c>
      <c r="F14" s="52">
        <f>+Data!N27</f>
        <v>75256.58704622036</v>
      </c>
      <c r="G14" s="9">
        <f t="shared" si="2"/>
        <v>52106.2248244651</v>
      </c>
      <c r="H14" s="7">
        <f t="shared" si="0"/>
        <v>127362.81187068546</v>
      </c>
      <c r="I14" s="61">
        <f t="shared" si="1"/>
        <v>73</v>
      </c>
    </row>
    <row r="15" spans="1:9" ht="15">
      <c r="A15" t="s">
        <v>76</v>
      </c>
      <c r="B15" s="33">
        <v>0.0325</v>
      </c>
      <c r="C15" s="11"/>
      <c r="D15" s="18" t="s">
        <v>29</v>
      </c>
      <c r="E15" s="19">
        <f>+Data!C28</f>
        <v>0</v>
      </c>
      <c r="F15" s="52">
        <f>+Data!N28</f>
        <v>75256.58704622036</v>
      </c>
      <c r="G15" s="9">
        <f t="shared" si="2"/>
        <v>53799.677131260214</v>
      </c>
      <c r="H15" s="7">
        <f t="shared" si="0"/>
        <v>129056.26417748057</v>
      </c>
      <c r="I15" s="61">
        <f t="shared" si="1"/>
        <v>74</v>
      </c>
    </row>
    <row r="16" spans="3:9" ht="15">
      <c r="C16" s="11"/>
      <c r="D16" s="18" t="s">
        <v>30</v>
      </c>
      <c r="E16" s="19">
        <f>+Data!C29</f>
        <v>0</v>
      </c>
      <c r="F16" s="52">
        <f>+Data!N29</f>
        <v>75256.58704622036</v>
      </c>
      <c r="G16" s="9">
        <f t="shared" si="2"/>
        <v>55548.16663802617</v>
      </c>
      <c r="H16" s="7">
        <f t="shared" si="0"/>
        <v>130804.75368424653</v>
      </c>
      <c r="I16" s="61">
        <f t="shared" si="1"/>
        <v>75</v>
      </c>
    </row>
    <row r="17" spans="1:9" ht="15">
      <c r="A17" s="1" t="s">
        <v>1</v>
      </c>
      <c r="B17" s="11"/>
      <c r="C17" s="11"/>
      <c r="D17" s="18" t="s">
        <v>31</v>
      </c>
      <c r="E17" s="19">
        <f>+Data!C30</f>
        <v>0</v>
      </c>
      <c r="F17" s="52">
        <f>+Data!N30</f>
        <v>75256.58704622036</v>
      </c>
      <c r="G17" s="9">
        <f t="shared" si="2"/>
        <v>57353.48205376202</v>
      </c>
      <c r="H17" s="7">
        <f t="shared" si="0"/>
        <v>132610.0690999824</v>
      </c>
      <c r="I17" s="61">
        <f t="shared" si="1"/>
        <v>76</v>
      </c>
    </row>
    <row r="18" spans="1:9" ht="15">
      <c r="A18" t="s">
        <v>12</v>
      </c>
      <c r="B18" s="29">
        <v>30</v>
      </c>
      <c r="C18" s="11"/>
      <c r="D18" s="18" t="s">
        <v>32</v>
      </c>
      <c r="E18" s="19">
        <f>+Data!C31</f>
        <v>0</v>
      </c>
      <c r="F18" s="52">
        <f>+Data!N31</f>
        <v>75256.58704622036</v>
      </c>
      <c r="G18" s="9">
        <f aca="true" t="shared" si="3" ref="G18:G25">+G17*(1+$B$15)</f>
        <v>59217.47022050928</v>
      </c>
      <c r="H18" s="7">
        <f t="shared" si="0"/>
        <v>134474.05726672965</v>
      </c>
      <c r="I18" s="61">
        <f t="shared" si="1"/>
        <v>77</v>
      </c>
    </row>
    <row r="19" spans="1:9" ht="15">
      <c r="A19" t="s">
        <v>11</v>
      </c>
      <c r="B19" s="29">
        <v>65</v>
      </c>
      <c r="C19" s="11"/>
      <c r="D19" s="18" t="s">
        <v>33</v>
      </c>
      <c r="E19" s="19">
        <f>+Data!C32</f>
        <v>0</v>
      </c>
      <c r="F19" s="52">
        <f>+Data!N32</f>
        <v>75256.58704622036</v>
      </c>
      <c r="G19" s="9">
        <f t="shared" si="3"/>
        <v>61142.038002675836</v>
      </c>
      <c r="H19" s="7">
        <f t="shared" si="0"/>
        <v>136398.62504889618</v>
      </c>
      <c r="I19" s="61">
        <f t="shared" si="1"/>
        <v>78</v>
      </c>
    </row>
    <row r="20" spans="1:9" s="15" customFormat="1" ht="15">
      <c r="A20" t="s">
        <v>6</v>
      </c>
      <c r="B20" s="11" t="s">
        <v>86</v>
      </c>
      <c r="D20" s="18" t="s">
        <v>34</v>
      </c>
      <c r="E20" s="19">
        <f>+Data!C33</f>
        <v>0</v>
      </c>
      <c r="F20" s="52">
        <f>+Data!N33</f>
        <v>75256.58704622036</v>
      </c>
      <c r="G20" s="9">
        <f t="shared" si="3"/>
        <v>63129.1542377628</v>
      </c>
      <c r="H20" s="7">
        <f t="shared" si="0"/>
        <v>138385.74128398317</v>
      </c>
      <c r="I20" s="61">
        <f t="shared" si="1"/>
        <v>79</v>
      </c>
    </row>
    <row r="21" spans="1:9" ht="15">
      <c r="A21" t="s">
        <v>5</v>
      </c>
      <c r="B21" s="26">
        <v>28000</v>
      </c>
      <c r="C21" s="11"/>
      <c r="D21" s="18" t="s">
        <v>35</v>
      </c>
      <c r="E21" s="19">
        <f>+Data!C34</f>
        <v>0</v>
      </c>
      <c r="F21" s="52">
        <f>+Data!N34</f>
        <v>75256.58704622036</v>
      </c>
      <c r="G21" s="9">
        <f t="shared" si="3"/>
        <v>65180.85175049009</v>
      </c>
      <c r="H21" s="7">
        <f t="shared" si="0"/>
        <v>140437.43879671046</v>
      </c>
      <c r="I21" s="61">
        <f t="shared" si="1"/>
        <v>80</v>
      </c>
    </row>
    <row r="22" spans="1:9" ht="15">
      <c r="A22" t="s">
        <v>18</v>
      </c>
      <c r="B22" s="30">
        <v>3</v>
      </c>
      <c r="C22" s="11"/>
      <c r="D22" s="18" t="s">
        <v>36</v>
      </c>
      <c r="E22" s="19">
        <f>+Data!C35</f>
        <v>0</v>
      </c>
      <c r="F22" s="52">
        <f>+Data!N35</f>
        <v>75256.58704622036</v>
      </c>
      <c r="G22" s="9">
        <f t="shared" si="3"/>
        <v>67299.22943238102</v>
      </c>
      <c r="H22" s="7">
        <f t="shared" si="0"/>
        <v>142555.81647860137</v>
      </c>
      <c r="I22" s="61">
        <f t="shared" si="1"/>
        <v>81</v>
      </c>
    </row>
    <row r="23" spans="1:9" ht="15" hidden="1">
      <c r="A23" t="s">
        <v>88</v>
      </c>
      <c r="B23" s="27">
        <v>20</v>
      </c>
      <c r="C23" s="15"/>
      <c r="D23" s="18" t="s">
        <v>37</v>
      </c>
      <c r="E23" s="19">
        <f>+Data!C36</f>
        <v>0</v>
      </c>
      <c r="F23" s="52">
        <f>+Data!N36</f>
        <v>75256.58704622036</v>
      </c>
      <c r="G23" s="9">
        <f t="shared" si="3"/>
        <v>69486.4543889334</v>
      </c>
      <c r="H23" s="7">
        <f t="shared" si="0"/>
        <v>144743.04143515375</v>
      </c>
      <c r="I23" s="61">
        <f t="shared" si="1"/>
        <v>82</v>
      </c>
    </row>
    <row r="24" spans="4:9" ht="15">
      <c r="D24" s="18" t="s">
        <v>38</v>
      </c>
      <c r="E24" s="19">
        <f>+Data!C37</f>
        <v>0</v>
      </c>
      <c r="F24" s="52">
        <f>+Data!N37</f>
        <v>75256.58704622036</v>
      </c>
      <c r="G24" s="9">
        <f>+G23*(1+$B$15)</f>
        <v>71744.76415657373</v>
      </c>
      <c r="H24" s="7">
        <f t="shared" si="0"/>
        <v>147001.3512027941</v>
      </c>
      <c r="I24" s="61">
        <f t="shared" si="1"/>
        <v>83</v>
      </c>
    </row>
    <row r="25" spans="1:9" ht="15">
      <c r="A25" s="55" t="s">
        <v>89</v>
      </c>
      <c r="D25" s="18" t="s">
        <v>39</v>
      </c>
      <c r="E25" s="19">
        <f>+Data!C38</f>
        <v>0</v>
      </c>
      <c r="F25" s="52">
        <f>+Data!N38</f>
        <v>75255.587046222</v>
      </c>
      <c r="G25" s="9">
        <f t="shared" si="3"/>
        <v>74076.46899166238</v>
      </c>
      <c r="H25" s="7">
        <f t="shared" si="0"/>
        <v>149332.05603788438</v>
      </c>
      <c r="I25" s="61">
        <f t="shared" si="1"/>
        <v>84</v>
      </c>
    </row>
    <row r="26" spans="1:8" ht="15">
      <c r="A26" t="s">
        <v>55</v>
      </c>
      <c r="B26" s="31">
        <f>+Data!B15</f>
        <v>117805.68453664798</v>
      </c>
      <c r="D26" s="18"/>
      <c r="E26" s="19"/>
      <c r="F26" s="52"/>
      <c r="H26" s="7"/>
    </row>
    <row r="27" spans="1:8" ht="15">
      <c r="A27" t="s">
        <v>100</v>
      </c>
      <c r="B27" s="31">
        <f>+Data!AE10</f>
        <v>738880.0504531232</v>
      </c>
      <c r="E27" s="57" t="s">
        <v>96</v>
      </c>
      <c r="F27" s="52">
        <f>+Hybrid!J35</f>
        <v>1435524.8285007009</v>
      </c>
      <c r="G27" s="59" t="s">
        <v>94</v>
      </c>
      <c r="H27" s="7">
        <f>+F28+F29</f>
        <v>1030029.3610428127</v>
      </c>
    </row>
    <row r="28" spans="4:8" ht="15">
      <c r="D28" s="18"/>
      <c r="E28" s="58" t="s">
        <v>97</v>
      </c>
      <c r="F28" s="52">
        <f>+Hybrid!H35</f>
        <v>0</v>
      </c>
      <c r="G28" s="59" t="s">
        <v>95</v>
      </c>
      <c r="H28" s="7">
        <f>+F27</f>
        <v>1435524.8285007009</v>
      </c>
    </row>
    <row r="29" spans="4:8" ht="15">
      <c r="D29" s="18"/>
      <c r="E29" s="58" t="s">
        <v>93</v>
      </c>
      <c r="F29" s="52">
        <f>SUM(G6:G25)</f>
        <v>1030029.3610428127</v>
      </c>
      <c r="H29" s="7"/>
    </row>
    <row r="30" spans="4:8" ht="15">
      <c r="D30" s="18"/>
      <c r="F30" s="52"/>
      <c r="H30" s="7"/>
    </row>
    <row r="31" spans="4:8" ht="15">
      <c r="D31" s="18"/>
      <c r="E31" s="19"/>
      <c r="F31" s="52"/>
      <c r="H31" s="7"/>
    </row>
    <row r="32" spans="4:8" ht="15">
      <c r="D32" s="18"/>
      <c r="E32" s="19"/>
      <c r="F32" s="52"/>
      <c r="H32" s="7"/>
    </row>
    <row r="33" spans="4:8" ht="15">
      <c r="D33" s="18"/>
      <c r="E33" s="19"/>
      <c r="F33" s="52"/>
      <c r="H33" s="7"/>
    </row>
    <row r="34" spans="4:8" ht="15">
      <c r="D34" s="18"/>
      <c r="E34" s="19"/>
      <c r="F34" s="52"/>
      <c r="H34" s="7"/>
    </row>
    <row r="35" spans="4:8" ht="15">
      <c r="D35" s="18"/>
      <c r="E35" s="19"/>
      <c r="F35" s="52"/>
      <c r="H35" s="7"/>
    </row>
    <row r="36" spans="4:8" ht="15">
      <c r="D36" s="18"/>
      <c r="E36" s="19"/>
      <c r="F36" s="52"/>
      <c r="H36" s="7"/>
    </row>
  </sheetData>
  <printOptions/>
  <pageMargins left="0.75" right="0.48" top="1" bottom="0.52" header="0.5" footer="0.5"/>
  <pageSetup fitToHeight="1" fitToWidth="1" horizontalDpi="600" verticalDpi="600" orientation="portrait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A1">
      <selection activeCell="J9" sqref="J9"/>
    </sheetView>
  </sheetViews>
  <sheetFormatPr defaultColWidth="8.88671875" defaultRowHeight="15"/>
  <cols>
    <col min="1" max="1" width="4.10546875" style="37" bestFit="1" customWidth="1"/>
    <col min="2" max="2" width="7.77734375" style="38" customWidth="1"/>
    <col min="3" max="3" width="9.4453125" style="44" customWidth="1"/>
    <col min="4" max="4" width="9.5546875" style="38" customWidth="1"/>
    <col min="5" max="5" width="5.21484375" style="38" customWidth="1"/>
    <col min="6" max="6" width="4.10546875" style="37" bestFit="1" customWidth="1"/>
    <col min="7" max="8" width="8.99609375" style="38" customWidth="1"/>
    <col min="9" max="9" width="9.88671875" style="38" customWidth="1"/>
    <col min="10" max="10" width="5.88671875" style="38" customWidth="1"/>
    <col min="11" max="11" width="4.10546875" style="37" bestFit="1" customWidth="1"/>
    <col min="12" max="12" width="9.77734375" style="44" customWidth="1"/>
    <col min="13" max="13" width="9.77734375" style="38" customWidth="1"/>
    <col min="14" max="14" width="9.5546875" style="38" customWidth="1"/>
    <col min="15" max="16384" width="8.88671875" style="38" customWidth="1"/>
  </cols>
  <sheetData>
    <row r="1" spans="1:14" ht="12.75">
      <c r="A1" s="63" t="str">
        <f>+Summary!B3</f>
        <v>Rich040303 - Case 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3" spans="1:14" s="50" customFormat="1" ht="24.75" customHeight="1">
      <c r="A3" s="49"/>
      <c r="B3" s="64" t="s">
        <v>84</v>
      </c>
      <c r="C3" s="64"/>
      <c r="D3" s="64"/>
      <c r="F3" s="49"/>
      <c r="G3" s="64" t="s">
        <v>85</v>
      </c>
      <c r="H3" s="64"/>
      <c r="I3" s="64"/>
      <c r="K3" s="49"/>
      <c r="L3" s="65" t="s">
        <v>83</v>
      </c>
      <c r="M3" s="65"/>
      <c r="N3" s="65"/>
    </row>
    <row r="5" spans="2:14" ht="12.75">
      <c r="B5" s="62" t="s">
        <v>65</v>
      </c>
      <c r="C5" s="62"/>
      <c r="D5" s="62"/>
      <c r="G5" s="62" t="s">
        <v>66</v>
      </c>
      <c r="H5" s="62"/>
      <c r="I5" s="62"/>
      <c r="L5" s="62" t="s">
        <v>67</v>
      </c>
      <c r="M5" s="62"/>
      <c r="N5" s="62"/>
    </row>
    <row r="6" spans="1:14" s="41" customFormat="1" ht="39">
      <c r="A6" s="39" t="s">
        <v>63</v>
      </c>
      <c r="B6" s="40" t="s">
        <v>40</v>
      </c>
      <c r="C6" s="43" t="s">
        <v>77</v>
      </c>
      <c r="D6" s="40" t="s">
        <v>64</v>
      </c>
      <c r="F6" s="39" t="s">
        <v>63</v>
      </c>
      <c r="G6" s="40" t="s">
        <v>68</v>
      </c>
      <c r="H6" s="43" t="s">
        <v>77</v>
      </c>
      <c r="I6" s="40" t="s">
        <v>64</v>
      </c>
      <c r="K6" s="39" t="s">
        <v>63</v>
      </c>
      <c r="L6" s="43" t="s">
        <v>78</v>
      </c>
      <c r="M6" s="43" t="s">
        <v>77</v>
      </c>
      <c r="N6" s="40" t="s">
        <v>64</v>
      </c>
    </row>
    <row r="7" spans="1:14" ht="12.75">
      <c r="A7" s="37">
        <f>+Summary!B19</f>
        <v>65</v>
      </c>
      <c r="B7" s="42">
        <f>+Summary!E6</f>
        <v>0</v>
      </c>
      <c r="C7" s="44">
        <f>+Summary!G6</f>
        <v>0</v>
      </c>
      <c r="D7" s="42">
        <f>+B7+C7</f>
        <v>0</v>
      </c>
      <c r="F7" s="37">
        <f>+A7</f>
        <v>65</v>
      </c>
      <c r="G7" s="44">
        <f>+Summary!F6</f>
        <v>75256.58704622036</v>
      </c>
      <c r="H7" s="44">
        <f>+Summary!G6</f>
        <v>0</v>
      </c>
      <c r="I7" s="44">
        <f>+G7+H7</f>
        <v>75256.58704622036</v>
      </c>
      <c r="K7" s="37">
        <f>+A7</f>
        <v>65</v>
      </c>
      <c r="L7" s="44">
        <f>IF(Data!AE10&gt;0,+Summary!$B$26*0.935,0)</f>
        <v>110148.31504176588</v>
      </c>
      <c r="M7" s="44">
        <f>+Summary!G6</f>
        <v>0</v>
      </c>
      <c r="N7" s="44">
        <f>+L7+M7</f>
        <v>110148.31504176588</v>
      </c>
    </row>
    <row r="8" spans="1:14" ht="12.75">
      <c r="A8" s="37">
        <f>+A7+1</f>
        <v>66</v>
      </c>
      <c r="B8" s="42">
        <f>+Summary!E7</f>
        <v>0</v>
      </c>
      <c r="C8" s="44">
        <f>+Summary!G7</f>
        <v>0</v>
      </c>
      <c r="D8" s="42">
        <f aca="true" t="shared" si="0" ref="D8:D26">+B8+C8</f>
        <v>0</v>
      </c>
      <c r="F8" s="37">
        <f aca="true" t="shared" si="1" ref="F8:F26">+A8</f>
        <v>66</v>
      </c>
      <c r="G8" s="44">
        <f>+Summary!F7</f>
        <v>75256.58704622036</v>
      </c>
      <c r="H8" s="44">
        <f>+Summary!G7</f>
        <v>0</v>
      </c>
      <c r="I8" s="44">
        <f aca="true" t="shared" si="2" ref="I8:I26">+G8+H8</f>
        <v>75256.58704622036</v>
      </c>
      <c r="K8" s="37">
        <f aca="true" t="shared" si="3" ref="K8:K26">+A8</f>
        <v>66</v>
      </c>
      <c r="L8" s="44">
        <f>+L7</f>
        <v>110148.31504176588</v>
      </c>
      <c r="M8" s="44">
        <f>+Summary!G7</f>
        <v>0</v>
      </c>
      <c r="N8" s="44">
        <f aca="true" t="shared" si="4" ref="N8:N26">+L8+M8</f>
        <v>110148.31504176588</v>
      </c>
    </row>
    <row r="9" spans="1:14" ht="12.75">
      <c r="A9" s="37">
        <f aca="true" t="shared" si="5" ref="A9:A26">+A8+1</f>
        <v>67</v>
      </c>
      <c r="B9" s="42">
        <f>+Summary!E8</f>
        <v>0</v>
      </c>
      <c r="C9" s="44">
        <f>+Summary!G8</f>
        <v>43008</v>
      </c>
      <c r="D9" s="42">
        <f t="shared" si="0"/>
        <v>43008</v>
      </c>
      <c r="F9" s="37">
        <f t="shared" si="1"/>
        <v>67</v>
      </c>
      <c r="G9" s="44">
        <f>+Summary!F8</f>
        <v>75256.58704622036</v>
      </c>
      <c r="H9" s="44">
        <f>+Summary!G8</f>
        <v>43008</v>
      </c>
      <c r="I9" s="44">
        <f t="shared" si="2"/>
        <v>118264.58704622036</v>
      </c>
      <c r="K9" s="37">
        <f t="shared" si="3"/>
        <v>67</v>
      </c>
      <c r="L9" s="44">
        <f>-Data!AF18</f>
        <v>67512.67768984273</v>
      </c>
      <c r="M9" s="44">
        <f>+Summary!G8</f>
        <v>43008</v>
      </c>
      <c r="N9" s="44">
        <f t="shared" si="4"/>
        <v>110520.67768984273</v>
      </c>
    </row>
    <row r="10" spans="1:14" ht="12.75">
      <c r="A10" s="37">
        <f t="shared" si="5"/>
        <v>68</v>
      </c>
      <c r="B10" s="42">
        <f>+Summary!E9</f>
        <v>0</v>
      </c>
      <c r="C10" s="44">
        <f>+Summary!G9</f>
        <v>44405.76</v>
      </c>
      <c r="D10" s="42">
        <f t="shared" si="0"/>
        <v>44405.76</v>
      </c>
      <c r="F10" s="37">
        <f t="shared" si="1"/>
        <v>68</v>
      </c>
      <c r="G10" s="44">
        <f>+Summary!F9</f>
        <v>75256.58704622036</v>
      </c>
      <c r="H10" s="44">
        <f>+Summary!G9</f>
        <v>44405.76</v>
      </c>
      <c r="I10" s="44">
        <f t="shared" si="2"/>
        <v>119662.34704622035</v>
      </c>
      <c r="K10" s="37">
        <f t="shared" si="3"/>
        <v>68</v>
      </c>
      <c r="L10" s="44">
        <f aca="true" t="shared" si="6" ref="L10:L26">+L9</f>
        <v>67512.67768984273</v>
      </c>
      <c r="M10" s="44">
        <f>+Summary!G9</f>
        <v>44405.76</v>
      </c>
      <c r="N10" s="44">
        <f t="shared" si="4"/>
        <v>111918.43768984274</v>
      </c>
    </row>
    <row r="11" spans="1:14" ht="12.75">
      <c r="A11" s="37">
        <f t="shared" si="5"/>
        <v>69</v>
      </c>
      <c r="B11" s="42">
        <f>+Summary!E10</f>
        <v>0</v>
      </c>
      <c r="C11" s="44">
        <f>+Summary!G10</f>
        <v>45848.9472</v>
      </c>
      <c r="D11" s="42">
        <f t="shared" si="0"/>
        <v>45848.9472</v>
      </c>
      <c r="F11" s="37">
        <f t="shared" si="1"/>
        <v>69</v>
      </c>
      <c r="G11" s="44">
        <f>+Summary!F10</f>
        <v>75256.58704622036</v>
      </c>
      <c r="H11" s="44">
        <f>+Summary!G10</f>
        <v>45848.9472</v>
      </c>
      <c r="I11" s="44">
        <f t="shared" si="2"/>
        <v>121105.53424622037</v>
      </c>
      <c r="K11" s="37">
        <f t="shared" si="3"/>
        <v>69</v>
      </c>
      <c r="L11" s="44">
        <f t="shared" si="6"/>
        <v>67512.67768984273</v>
      </c>
      <c r="M11" s="44">
        <f>+Summary!G10</f>
        <v>45848.9472</v>
      </c>
      <c r="N11" s="44">
        <f t="shared" si="4"/>
        <v>113361.62488984273</v>
      </c>
    </row>
    <row r="12" spans="1:14" ht="12.75">
      <c r="A12" s="37">
        <f t="shared" si="5"/>
        <v>70</v>
      </c>
      <c r="B12" s="42">
        <f>+Summary!E11</f>
        <v>0</v>
      </c>
      <c r="C12" s="44">
        <f>+Summary!G8</f>
        <v>43008</v>
      </c>
      <c r="D12" s="42">
        <f t="shared" si="0"/>
        <v>43008</v>
      </c>
      <c r="F12" s="37">
        <f t="shared" si="1"/>
        <v>70</v>
      </c>
      <c r="G12" s="44">
        <f>+Summary!F11</f>
        <v>75256.58704622036</v>
      </c>
      <c r="H12" s="44">
        <f>+Summary!G8</f>
        <v>43008</v>
      </c>
      <c r="I12" s="45">
        <f t="shared" si="2"/>
        <v>118264.58704622036</v>
      </c>
      <c r="K12" s="37">
        <f t="shared" si="3"/>
        <v>70</v>
      </c>
      <c r="L12" s="44">
        <f t="shared" si="6"/>
        <v>67512.67768984273</v>
      </c>
      <c r="M12" s="44">
        <f>+Summary!G8</f>
        <v>43008</v>
      </c>
      <c r="N12" s="45">
        <f t="shared" si="4"/>
        <v>110520.67768984273</v>
      </c>
    </row>
    <row r="13" spans="1:14" ht="12.75">
      <c r="A13" s="37">
        <f t="shared" si="5"/>
        <v>71</v>
      </c>
      <c r="B13" s="42">
        <f>+Summary!E12</f>
        <v>0</v>
      </c>
      <c r="C13" s="44">
        <f>+Summary!G12</f>
        <v>48877.55671848</v>
      </c>
      <c r="D13" s="42">
        <f t="shared" si="0"/>
        <v>48877.55671848</v>
      </c>
      <c r="F13" s="37">
        <f t="shared" si="1"/>
        <v>71</v>
      </c>
      <c r="G13" s="44">
        <f>+Summary!F12</f>
        <v>75256.58704622036</v>
      </c>
      <c r="H13" s="44">
        <f>+Summary!G12</f>
        <v>48877.55671848</v>
      </c>
      <c r="I13" s="45">
        <f t="shared" si="2"/>
        <v>124134.14376470036</v>
      </c>
      <c r="K13" s="37">
        <f t="shared" si="3"/>
        <v>71</v>
      </c>
      <c r="L13" s="44">
        <f t="shared" si="6"/>
        <v>67512.67768984273</v>
      </c>
      <c r="M13" s="44">
        <f>+Summary!G12</f>
        <v>48877.55671848</v>
      </c>
      <c r="N13" s="45">
        <f t="shared" si="4"/>
        <v>116390.23440832274</v>
      </c>
    </row>
    <row r="14" spans="1:14" ht="12.75">
      <c r="A14" s="37">
        <f t="shared" si="5"/>
        <v>72</v>
      </c>
      <c r="B14" s="42">
        <f>+Summary!E13</f>
        <v>0</v>
      </c>
      <c r="C14" s="44">
        <f>+Summary!G13</f>
        <v>50466.0773118306</v>
      </c>
      <c r="D14" s="42">
        <f t="shared" si="0"/>
        <v>50466.0773118306</v>
      </c>
      <c r="F14" s="37">
        <f t="shared" si="1"/>
        <v>72</v>
      </c>
      <c r="G14" s="44">
        <f>+Summary!F13</f>
        <v>75256.58704622036</v>
      </c>
      <c r="H14" s="44">
        <f>+Summary!G13</f>
        <v>50466.0773118306</v>
      </c>
      <c r="I14" s="45">
        <f t="shared" si="2"/>
        <v>125722.66435805097</v>
      </c>
      <c r="K14" s="37">
        <f t="shared" si="3"/>
        <v>72</v>
      </c>
      <c r="L14" s="44">
        <f t="shared" si="6"/>
        <v>67512.67768984273</v>
      </c>
      <c r="M14" s="44">
        <f>+Summary!G13</f>
        <v>50466.0773118306</v>
      </c>
      <c r="N14" s="45">
        <f t="shared" si="4"/>
        <v>117978.75500167333</v>
      </c>
    </row>
    <row r="15" spans="1:14" ht="12.75">
      <c r="A15" s="37">
        <f t="shared" si="5"/>
        <v>73</v>
      </c>
      <c r="B15" s="42">
        <f>+Summary!E14</f>
        <v>0</v>
      </c>
      <c r="C15" s="44">
        <f>+Summary!G14</f>
        <v>52106.2248244651</v>
      </c>
      <c r="D15" s="42">
        <f t="shared" si="0"/>
        <v>52106.2248244651</v>
      </c>
      <c r="F15" s="37">
        <f t="shared" si="1"/>
        <v>73</v>
      </c>
      <c r="G15" s="44">
        <f>+Summary!F14</f>
        <v>75256.58704622036</v>
      </c>
      <c r="H15" s="44">
        <f>+Summary!G14</f>
        <v>52106.2248244651</v>
      </c>
      <c r="I15" s="45">
        <f t="shared" si="2"/>
        <v>127362.81187068546</v>
      </c>
      <c r="K15" s="37">
        <f t="shared" si="3"/>
        <v>73</v>
      </c>
      <c r="L15" s="44">
        <f t="shared" si="6"/>
        <v>67512.67768984273</v>
      </c>
      <c r="M15" s="44">
        <f>+Summary!G14</f>
        <v>52106.2248244651</v>
      </c>
      <c r="N15" s="45">
        <f t="shared" si="4"/>
        <v>119618.90251430783</v>
      </c>
    </row>
    <row r="16" spans="1:14" ht="12.75">
      <c r="A16" s="37">
        <f t="shared" si="5"/>
        <v>74</v>
      </c>
      <c r="B16" s="42">
        <f>+Summary!E15</f>
        <v>0</v>
      </c>
      <c r="C16" s="44">
        <f>+Summary!G15</f>
        <v>53799.677131260214</v>
      </c>
      <c r="D16" s="42">
        <f t="shared" si="0"/>
        <v>53799.677131260214</v>
      </c>
      <c r="F16" s="37">
        <f t="shared" si="1"/>
        <v>74</v>
      </c>
      <c r="G16" s="44">
        <f>+Summary!F15</f>
        <v>75256.58704622036</v>
      </c>
      <c r="H16" s="44">
        <f>+Summary!G15</f>
        <v>53799.677131260214</v>
      </c>
      <c r="I16" s="45">
        <f t="shared" si="2"/>
        <v>129056.26417748057</v>
      </c>
      <c r="K16" s="37">
        <f t="shared" si="3"/>
        <v>74</v>
      </c>
      <c r="L16" s="44">
        <f t="shared" si="6"/>
        <v>67512.67768984273</v>
      </c>
      <c r="M16" s="44">
        <f>+Summary!G15</f>
        <v>53799.677131260214</v>
      </c>
      <c r="N16" s="45">
        <f t="shared" si="4"/>
        <v>121312.35482110296</v>
      </c>
    </row>
    <row r="17" spans="1:14" ht="12.75">
      <c r="A17" s="37">
        <f t="shared" si="5"/>
        <v>75</v>
      </c>
      <c r="B17" s="42">
        <f>+Summary!E16</f>
        <v>0</v>
      </c>
      <c r="C17" s="44">
        <f>+Summary!G16</f>
        <v>55548.16663802617</v>
      </c>
      <c r="D17" s="42">
        <f t="shared" si="0"/>
        <v>55548.16663802617</v>
      </c>
      <c r="F17" s="37">
        <f t="shared" si="1"/>
        <v>75</v>
      </c>
      <c r="G17" s="44">
        <f>+Summary!F16</f>
        <v>75256.58704622036</v>
      </c>
      <c r="H17" s="44">
        <f>+Summary!G16</f>
        <v>55548.16663802617</v>
      </c>
      <c r="I17" s="45">
        <f t="shared" si="2"/>
        <v>130804.75368424653</v>
      </c>
      <c r="K17" s="37">
        <f t="shared" si="3"/>
        <v>75</v>
      </c>
      <c r="L17" s="44">
        <f t="shared" si="6"/>
        <v>67512.67768984273</v>
      </c>
      <c r="M17" s="44">
        <f>+Summary!G16</f>
        <v>55548.16663802617</v>
      </c>
      <c r="N17" s="45">
        <f t="shared" si="4"/>
        <v>123060.8443278689</v>
      </c>
    </row>
    <row r="18" spans="1:14" ht="12.75">
      <c r="A18" s="37">
        <f t="shared" si="5"/>
        <v>76</v>
      </c>
      <c r="B18" s="42">
        <f>+Summary!E17</f>
        <v>0</v>
      </c>
      <c r="C18" s="44">
        <f>+Summary!G17</f>
        <v>57353.48205376202</v>
      </c>
      <c r="D18" s="42">
        <f t="shared" si="0"/>
        <v>57353.48205376202</v>
      </c>
      <c r="F18" s="37">
        <f t="shared" si="1"/>
        <v>76</v>
      </c>
      <c r="G18" s="44">
        <f>+Summary!F17</f>
        <v>75256.58704622036</v>
      </c>
      <c r="H18" s="44">
        <f>+Summary!G17</f>
        <v>57353.48205376202</v>
      </c>
      <c r="I18" s="45">
        <f t="shared" si="2"/>
        <v>132610.0690999824</v>
      </c>
      <c r="K18" s="37">
        <f t="shared" si="3"/>
        <v>76</v>
      </c>
      <c r="L18" s="44">
        <f t="shared" si="6"/>
        <v>67512.67768984273</v>
      </c>
      <c r="M18" s="44">
        <f>+Summary!G17</f>
        <v>57353.48205376202</v>
      </c>
      <c r="N18" s="45">
        <f t="shared" si="4"/>
        <v>124866.15974360475</v>
      </c>
    </row>
    <row r="19" spans="1:14" ht="12.75">
      <c r="A19" s="37">
        <f t="shared" si="5"/>
        <v>77</v>
      </c>
      <c r="B19" s="42">
        <f>+Summary!E18</f>
        <v>0</v>
      </c>
      <c r="C19" s="44">
        <f>+Summary!G18</f>
        <v>59217.47022050928</v>
      </c>
      <c r="D19" s="42">
        <f t="shared" si="0"/>
        <v>59217.47022050928</v>
      </c>
      <c r="F19" s="37">
        <f t="shared" si="1"/>
        <v>77</v>
      </c>
      <c r="G19" s="44">
        <f>+Summary!F18</f>
        <v>75256.58704622036</v>
      </c>
      <c r="H19" s="44">
        <f>+Summary!G18</f>
        <v>59217.47022050928</v>
      </c>
      <c r="I19" s="45">
        <f t="shared" si="2"/>
        <v>134474.05726672965</v>
      </c>
      <c r="K19" s="37">
        <f t="shared" si="3"/>
        <v>77</v>
      </c>
      <c r="L19" s="44">
        <f t="shared" si="6"/>
        <v>67512.67768984273</v>
      </c>
      <c r="M19" s="44">
        <f>+Summary!G18</f>
        <v>59217.47022050928</v>
      </c>
      <c r="N19" s="45">
        <f t="shared" si="4"/>
        <v>126730.14791035201</v>
      </c>
    </row>
    <row r="20" spans="1:14" ht="12.75">
      <c r="A20" s="37">
        <f t="shared" si="5"/>
        <v>78</v>
      </c>
      <c r="B20" s="42">
        <f>+Summary!E19</f>
        <v>0</v>
      </c>
      <c r="C20" s="44">
        <f>+Summary!G19</f>
        <v>61142.038002675836</v>
      </c>
      <c r="D20" s="42">
        <f t="shared" si="0"/>
        <v>61142.038002675836</v>
      </c>
      <c r="F20" s="37">
        <f t="shared" si="1"/>
        <v>78</v>
      </c>
      <c r="G20" s="44">
        <f>+Summary!F19</f>
        <v>75256.58704622036</v>
      </c>
      <c r="H20" s="44">
        <f>+Summary!G19</f>
        <v>61142.038002675836</v>
      </c>
      <c r="I20" s="45">
        <f t="shared" si="2"/>
        <v>136398.62504889618</v>
      </c>
      <c r="K20" s="37">
        <f t="shared" si="3"/>
        <v>78</v>
      </c>
      <c r="L20" s="44">
        <f t="shared" si="6"/>
        <v>67512.67768984273</v>
      </c>
      <c r="M20" s="44">
        <f>+Summary!G19</f>
        <v>61142.038002675836</v>
      </c>
      <c r="N20" s="45">
        <f t="shared" si="4"/>
        <v>128654.71569251857</v>
      </c>
    </row>
    <row r="21" spans="1:14" ht="12.75">
      <c r="A21" s="37">
        <f t="shared" si="5"/>
        <v>79</v>
      </c>
      <c r="B21" s="42">
        <f>+Summary!E20</f>
        <v>0</v>
      </c>
      <c r="C21" s="44">
        <f>+Summary!G20</f>
        <v>63129.1542377628</v>
      </c>
      <c r="D21" s="42">
        <f t="shared" si="0"/>
        <v>63129.1542377628</v>
      </c>
      <c r="F21" s="37">
        <f t="shared" si="1"/>
        <v>79</v>
      </c>
      <c r="G21" s="44">
        <f>+Summary!F20</f>
        <v>75256.58704622036</v>
      </c>
      <c r="H21" s="44">
        <f>+Summary!G20</f>
        <v>63129.1542377628</v>
      </c>
      <c r="I21" s="45">
        <f t="shared" si="2"/>
        <v>138385.74128398317</v>
      </c>
      <c r="K21" s="37">
        <f t="shared" si="3"/>
        <v>79</v>
      </c>
      <c r="L21" s="44">
        <f t="shared" si="6"/>
        <v>67512.67768984273</v>
      </c>
      <c r="M21" s="44">
        <f>+Summary!G20</f>
        <v>63129.1542377628</v>
      </c>
      <c r="N21" s="45">
        <f t="shared" si="4"/>
        <v>130641.83192760553</v>
      </c>
    </row>
    <row r="22" spans="1:14" ht="12.75">
      <c r="A22" s="37">
        <f t="shared" si="5"/>
        <v>80</v>
      </c>
      <c r="B22" s="42">
        <f>+Summary!E21</f>
        <v>0</v>
      </c>
      <c r="C22" s="44">
        <f>+Summary!G21</f>
        <v>65180.85175049009</v>
      </c>
      <c r="D22" s="42">
        <f t="shared" si="0"/>
        <v>65180.85175049009</v>
      </c>
      <c r="F22" s="37">
        <f t="shared" si="1"/>
        <v>80</v>
      </c>
      <c r="G22" s="44">
        <f>+Summary!F21</f>
        <v>75256.58704622036</v>
      </c>
      <c r="H22" s="44">
        <f>+Summary!G21</f>
        <v>65180.85175049009</v>
      </c>
      <c r="I22" s="45">
        <f t="shared" si="2"/>
        <v>140437.43879671046</v>
      </c>
      <c r="K22" s="37">
        <f t="shared" si="3"/>
        <v>80</v>
      </c>
      <c r="L22" s="44">
        <f t="shared" si="6"/>
        <v>67512.67768984273</v>
      </c>
      <c r="M22" s="44">
        <f>+Summary!G21</f>
        <v>65180.85175049009</v>
      </c>
      <c r="N22" s="45">
        <f t="shared" si="4"/>
        <v>132693.52944033282</v>
      </c>
    </row>
    <row r="23" spans="1:14" ht="12.75">
      <c r="A23" s="37">
        <f t="shared" si="5"/>
        <v>81</v>
      </c>
      <c r="B23" s="42">
        <f>+Summary!E22</f>
        <v>0</v>
      </c>
      <c r="C23" s="44">
        <f>+Summary!G22</f>
        <v>67299.22943238102</v>
      </c>
      <c r="D23" s="42">
        <f t="shared" si="0"/>
        <v>67299.22943238102</v>
      </c>
      <c r="F23" s="37">
        <f t="shared" si="1"/>
        <v>81</v>
      </c>
      <c r="G23" s="44">
        <f>+Summary!F22</f>
        <v>75256.58704622036</v>
      </c>
      <c r="H23" s="44">
        <f>+Summary!G22</f>
        <v>67299.22943238102</v>
      </c>
      <c r="I23" s="45">
        <f t="shared" si="2"/>
        <v>142555.81647860137</v>
      </c>
      <c r="K23" s="37">
        <f t="shared" si="3"/>
        <v>81</v>
      </c>
      <c r="L23" s="44">
        <f t="shared" si="6"/>
        <v>67512.67768984273</v>
      </c>
      <c r="M23" s="44">
        <f>+Summary!G22</f>
        <v>67299.22943238102</v>
      </c>
      <c r="N23" s="45">
        <f t="shared" si="4"/>
        <v>134811.90712222375</v>
      </c>
    </row>
    <row r="24" spans="1:14" ht="12.75">
      <c r="A24" s="37">
        <f t="shared" si="5"/>
        <v>82</v>
      </c>
      <c r="B24" s="42">
        <f>+Summary!E23</f>
        <v>0</v>
      </c>
      <c r="C24" s="44">
        <f>+Summary!G23</f>
        <v>69486.4543889334</v>
      </c>
      <c r="D24" s="42">
        <f t="shared" si="0"/>
        <v>69486.4543889334</v>
      </c>
      <c r="F24" s="37">
        <f t="shared" si="1"/>
        <v>82</v>
      </c>
      <c r="G24" s="44">
        <f>+Summary!F23</f>
        <v>75256.58704622036</v>
      </c>
      <c r="H24" s="44">
        <f>+Summary!G23</f>
        <v>69486.4543889334</v>
      </c>
      <c r="I24" s="45">
        <f t="shared" si="2"/>
        <v>144743.04143515375</v>
      </c>
      <c r="K24" s="37">
        <f t="shared" si="3"/>
        <v>82</v>
      </c>
      <c r="L24" s="44">
        <f t="shared" si="6"/>
        <v>67512.67768984273</v>
      </c>
      <c r="M24" s="44">
        <f>+Summary!G23</f>
        <v>69486.4543889334</v>
      </c>
      <c r="N24" s="45">
        <f t="shared" si="4"/>
        <v>136999.13207877614</v>
      </c>
    </row>
    <row r="25" spans="1:14" ht="12.75">
      <c r="A25" s="37">
        <f t="shared" si="5"/>
        <v>83</v>
      </c>
      <c r="B25" s="42">
        <f>+Summary!E24</f>
        <v>0</v>
      </c>
      <c r="C25" s="44">
        <f>+Summary!G24</f>
        <v>71744.76415657373</v>
      </c>
      <c r="D25" s="42">
        <f t="shared" si="0"/>
        <v>71744.76415657373</v>
      </c>
      <c r="F25" s="37">
        <f t="shared" si="1"/>
        <v>83</v>
      </c>
      <c r="G25" s="44">
        <f>+Summary!F24</f>
        <v>75256.58704622036</v>
      </c>
      <c r="H25" s="44">
        <f>+Summary!G24</f>
        <v>71744.76415657373</v>
      </c>
      <c r="I25" s="45">
        <f t="shared" si="2"/>
        <v>147001.3512027941</v>
      </c>
      <c r="K25" s="37">
        <f t="shared" si="3"/>
        <v>83</v>
      </c>
      <c r="L25" s="44">
        <f t="shared" si="6"/>
        <v>67512.67768984273</v>
      </c>
      <c r="M25" s="44">
        <f>+Summary!G24</f>
        <v>71744.76415657373</v>
      </c>
      <c r="N25" s="45">
        <f t="shared" si="4"/>
        <v>139257.44184641645</v>
      </c>
    </row>
    <row r="26" spans="1:14" ht="12.75">
      <c r="A26" s="37">
        <f t="shared" si="5"/>
        <v>84</v>
      </c>
      <c r="B26" s="42">
        <f>+Summary!E25</f>
        <v>0</v>
      </c>
      <c r="C26" s="44">
        <f>+Summary!G25</f>
        <v>74076.46899166238</v>
      </c>
      <c r="D26" s="42">
        <f t="shared" si="0"/>
        <v>74076.46899166238</v>
      </c>
      <c r="F26" s="37">
        <f t="shared" si="1"/>
        <v>84</v>
      </c>
      <c r="G26" s="44">
        <f>+Summary!F25</f>
        <v>75255.587046222</v>
      </c>
      <c r="H26" s="44">
        <f>+Summary!G25</f>
        <v>74076.46899166238</v>
      </c>
      <c r="I26" s="45">
        <f t="shared" si="2"/>
        <v>149332.05603788438</v>
      </c>
      <c r="K26" s="37">
        <f t="shared" si="3"/>
        <v>84</v>
      </c>
      <c r="L26" s="44">
        <f t="shared" si="6"/>
        <v>67512.67768984273</v>
      </c>
      <c r="M26" s="44">
        <f>+Summary!G25</f>
        <v>74076.46899166238</v>
      </c>
      <c r="N26" s="45">
        <f t="shared" si="4"/>
        <v>141589.1466815051</v>
      </c>
    </row>
    <row r="28" spans="1:14" ht="12.75">
      <c r="A28" s="46" t="s">
        <v>69</v>
      </c>
      <c r="D28" s="47">
        <f>+D7/Summary!$B$26</f>
        <v>0</v>
      </c>
      <c r="F28" s="46" t="s">
        <v>69</v>
      </c>
      <c r="I28" s="47">
        <f>+I7/Summary!$B$26</f>
        <v>0.6388196574912216</v>
      </c>
      <c r="K28" s="46" t="str">
        <f>+A28</f>
        <v>Initial Replacement Ratio</v>
      </c>
      <c r="N28" s="47">
        <f>+N7/Summary!$B$26</f>
        <v>0.935</v>
      </c>
    </row>
    <row r="29" spans="1:14" ht="12.75">
      <c r="A29" s="46" t="s">
        <v>70</v>
      </c>
      <c r="D29" s="47">
        <f>+D9/Summary!$B$26</f>
        <v>0.36507576157431276</v>
      </c>
      <c r="F29" s="46" t="str">
        <f>+A29</f>
        <v>Age 67 Replacement Ratio</v>
      </c>
      <c r="I29" s="47">
        <f>+I9/Summary!$B$26</f>
        <v>1.0038954190655343</v>
      </c>
      <c r="K29" s="46" t="str">
        <f>+A29</f>
        <v>Age 67 Replacement Ratio</v>
      </c>
      <c r="N29" s="47">
        <f>+N9/Summary!$B$26</f>
        <v>0.9381608207154132</v>
      </c>
    </row>
    <row r="30" spans="1:14" ht="12.75">
      <c r="A30" s="46" t="s">
        <v>98</v>
      </c>
      <c r="D30" s="47">
        <f>+D26/Data!$W$15</f>
        <v>0.331675061903346</v>
      </c>
      <c r="F30" s="46" t="str">
        <f>+A30</f>
        <v>Age 84 Inflation Adjusted RR</v>
      </c>
      <c r="I30" s="47">
        <f>+I26/Data!$W$15</f>
        <v>0.66862958783975</v>
      </c>
      <c r="K30" s="46" t="str">
        <f>+A30</f>
        <v>Age 84 Inflation Adjusted RR</v>
      </c>
      <c r="N30" s="47">
        <f>+N26/Data!$W$15</f>
        <v>0.6339609545335627</v>
      </c>
    </row>
    <row r="32" spans="1:2" ht="12.75">
      <c r="A32" s="37" t="s">
        <v>79</v>
      </c>
      <c r="B32" s="38" t="s">
        <v>80</v>
      </c>
    </row>
    <row r="33" spans="1:2" ht="12.75">
      <c r="A33" s="37" t="s">
        <v>81</v>
      </c>
      <c r="B33" s="38" t="s">
        <v>82</v>
      </c>
    </row>
  </sheetData>
  <mergeCells count="7">
    <mergeCell ref="B5:D5"/>
    <mergeCell ref="G5:I5"/>
    <mergeCell ref="L5:N5"/>
    <mergeCell ref="A1:N1"/>
    <mergeCell ref="B3:D3"/>
    <mergeCell ref="G3:I3"/>
    <mergeCell ref="L3:N3"/>
  </mergeCells>
  <printOptions/>
  <pageMargins left="0.5" right="0.5" top="0.77" bottom="0.49" header="0.5" footer="0.5"/>
  <pageSetup fitToHeight="1" fitToWidth="1" horizontalDpi="600" verticalDpi="600" orientation="landscape" r:id="rId1"/>
  <headerFooter alignWithMargins="0">
    <oddHeader>&amp;L&amp;8CS
&amp;F&amp;CBenefit Projection Comparison&amp;R&amp;8&amp;D
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C14" sqref="C14"/>
    </sheetView>
  </sheetViews>
  <sheetFormatPr defaultColWidth="8.88671875" defaultRowHeight="15"/>
  <cols>
    <col min="1" max="1" width="4.10546875" style="37" bestFit="1" customWidth="1"/>
    <col min="2" max="2" width="7.77734375" style="38" customWidth="1"/>
    <col min="3" max="4" width="9.4453125" style="44" customWidth="1"/>
    <col min="5" max="5" width="9.5546875" style="38" customWidth="1"/>
    <col min="6" max="6" width="5.21484375" style="38" customWidth="1"/>
    <col min="7" max="7" width="4.10546875" style="37" bestFit="1" customWidth="1"/>
    <col min="8" max="10" width="8.99609375" style="38" customWidth="1"/>
    <col min="11" max="11" width="9.88671875" style="38" customWidth="1"/>
    <col min="12" max="16384" width="8.88671875" style="38" customWidth="1"/>
  </cols>
  <sheetData>
    <row r="1" spans="1:11" ht="12.75">
      <c r="A1" s="63" t="str">
        <f>+Summary!B3</f>
        <v>Rich040303 - Case 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3" spans="1:11" s="50" customFormat="1" ht="24.75" customHeight="1">
      <c r="A3" s="49"/>
      <c r="B3" s="64" t="s">
        <v>90</v>
      </c>
      <c r="C3" s="64"/>
      <c r="D3" s="64"/>
      <c r="E3" s="64"/>
      <c r="G3" s="49"/>
      <c r="H3" s="64" t="s">
        <v>91</v>
      </c>
      <c r="I3" s="64"/>
      <c r="J3" s="64"/>
      <c r="K3" s="64"/>
    </row>
    <row r="5" spans="2:11" ht="12.75">
      <c r="B5" s="62" t="s">
        <v>92</v>
      </c>
      <c r="C5" s="62"/>
      <c r="D5" s="62"/>
      <c r="E5" s="62"/>
      <c r="H5" s="62" t="s">
        <v>92</v>
      </c>
      <c r="I5" s="62"/>
      <c r="J5" s="62"/>
      <c r="K5" s="62"/>
    </row>
    <row r="6" spans="1:11" s="41" customFormat="1" ht="39">
      <c r="A6" s="39" t="s">
        <v>63</v>
      </c>
      <c r="B6" s="54" t="s">
        <v>40</v>
      </c>
      <c r="C6" s="43" t="s">
        <v>77</v>
      </c>
      <c r="D6" s="40" t="s">
        <v>68</v>
      </c>
      <c r="E6" s="40" t="s">
        <v>64</v>
      </c>
      <c r="G6" s="39" t="s">
        <v>63</v>
      </c>
      <c r="H6" s="40" t="s">
        <v>40</v>
      </c>
      <c r="I6" s="43" t="s">
        <v>77</v>
      </c>
      <c r="J6" s="43" t="s">
        <v>78</v>
      </c>
      <c r="K6" s="40" t="s">
        <v>64</v>
      </c>
    </row>
    <row r="7" spans="1:11" ht="12.75">
      <c r="A7" s="37">
        <f>+Summary!B19</f>
        <v>65</v>
      </c>
      <c r="B7" s="42">
        <f>+Summary!E6</f>
        <v>0</v>
      </c>
      <c r="C7" s="44">
        <f>+Summary!G6</f>
        <v>0</v>
      </c>
      <c r="D7" s="44">
        <f>+Summary!F6</f>
        <v>75256.58704622036</v>
      </c>
      <c r="E7" s="42">
        <f>SUM(B7:D7)</f>
        <v>75256.58704622036</v>
      </c>
      <c r="G7" s="37">
        <f>+A7</f>
        <v>65</v>
      </c>
      <c r="H7" s="42">
        <f>+B7</f>
        <v>0</v>
      </c>
      <c r="I7" s="44">
        <f>+C7</f>
        <v>0</v>
      </c>
      <c r="J7" s="44">
        <f>+Comparison!L7</f>
        <v>110148.31504176588</v>
      </c>
      <c r="K7" s="44">
        <f>SUM(H7:J7)</f>
        <v>110148.31504176588</v>
      </c>
    </row>
    <row r="8" spans="1:11" ht="12.75">
      <c r="A8" s="37">
        <f>+A7+1</f>
        <v>66</v>
      </c>
      <c r="B8" s="42">
        <f>+Summary!E7</f>
        <v>0</v>
      </c>
      <c r="C8" s="44">
        <f>+Summary!G7</f>
        <v>0</v>
      </c>
      <c r="D8" s="44">
        <f>+Summary!F7</f>
        <v>75256.58704622036</v>
      </c>
      <c r="E8" s="42">
        <f aca="true" t="shared" si="0" ref="E8:E26">SUM(B8:D8)</f>
        <v>75256.58704622036</v>
      </c>
      <c r="G8" s="37">
        <f aca="true" t="shared" si="1" ref="G8:G26">+A8</f>
        <v>66</v>
      </c>
      <c r="H8" s="42">
        <f aca="true" t="shared" si="2" ref="H8:H26">+B8</f>
        <v>0</v>
      </c>
      <c r="I8" s="44">
        <f aca="true" t="shared" si="3" ref="I8:I26">+C8</f>
        <v>0</v>
      </c>
      <c r="J8" s="44">
        <f>+Comparison!L8</f>
        <v>110148.31504176588</v>
      </c>
      <c r="K8" s="44">
        <f aca="true" t="shared" si="4" ref="K8:K26">SUM(H8:J8)</f>
        <v>110148.31504176588</v>
      </c>
    </row>
    <row r="9" spans="1:11" ht="12.75">
      <c r="A9" s="37">
        <f aca="true" t="shared" si="5" ref="A9:A26">+A8+1</f>
        <v>67</v>
      </c>
      <c r="B9" s="42">
        <f>+Summary!E8</f>
        <v>0</v>
      </c>
      <c r="C9" s="44">
        <f>+Summary!G8</f>
        <v>43008</v>
      </c>
      <c r="D9" s="44">
        <f>+Summary!F8</f>
        <v>75256.58704622036</v>
      </c>
      <c r="E9" s="42">
        <f t="shared" si="0"/>
        <v>118264.58704622036</v>
      </c>
      <c r="G9" s="37">
        <f t="shared" si="1"/>
        <v>67</v>
      </c>
      <c r="H9" s="42">
        <f t="shared" si="2"/>
        <v>0</v>
      </c>
      <c r="I9" s="44">
        <f t="shared" si="3"/>
        <v>43008</v>
      </c>
      <c r="J9" s="44">
        <f>+Comparison!L9</f>
        <v>67512.67768984273</v>
      </c>
      <c r="K9" s="44">
        <f t="shared" si="4"/>
        <v>110520.67768984273</v>
      </c>
    </row>
    <row r="10" spans="1:11" ht="12.75">
      <c r="A10" s="37">
        <f t="shared" si="5"/>
        <v>68</v>
      </c>
      <c r="B10" s="42">
        <f>+Summary!E9</f>
        <v>0</v>
      </c>
      <c r="C10" s="44">
        <f>+Summary!G9</f>
        <v>44405.76</v>
      </c>
      <c r="D10" s="44">
        <f>+Summary!F9</f>
        <v>75256.58704622036</v>
      </c>
      <c r="E10" s="42">
        <f t="shared" si="0"/>
        <v>119662.34704622035</v>
      </c>
      <c r="G10" s="37">
        <f t="shared" si="1"/>
        <v>68</v>
      </c>
      <c r="H10" s="42">
        <f t="shared" si="2"/>
        <v>0</v>
      </c>
      <c r="I10" s="44">
        <f t="shared" si="3"/>
        <v>44405.76</v>
      </c>
      <c r="J10" s="44">
        <f>+Comparison!L10</f>
        <v>67512.67768984273</v>
      </c>
      <c r="K10" s="44">
        <f t="shared" si="4"/>
        <v>111918.43768984274</v>
      </c>
    </row>
    <row r="11" spans="1:11" ht="12.75">
      <c r="A11" s="37">
        <f t="shared" si="5"/>
        <v>69</v>
      </c>
      <c r="B11" s="42">
        <f>+Summary!E10</f>
        <v>0</v>
      </c>
      <c r="C11" s="44">
        <f>+Summary!G10</f>
        <v>45848.9472</v>
      </c>
      <c r="D11" s="44">
        <f>+Summary!F10</f>
        <v>75256.58704622036</v>
      </c>
      <c r="E11" s="42">
        <f t="shared" si="0"/>
        <v>121105.53424622037</v>
      </c>
      <c r="G11" s="37">
        <f t="shared" si="1"/>
        <v>69</v>
      </c>
      <c r="H11" s="42">
        <f t="shared" si="2"/>
        <v>0</v>
      </c>
      <c r="I11" s="44">
        <f t="shared" si="3"/>
        <v>45848.9472</v>
      </c>
      <c r="J11" s="44">
        <f>+Comparison!L11</f>
        <v>67512.67768984273</v>
      </c>
      <c r="K11" s="44">
        <f t="shared" si="4"/>
        <v>113361.62488984273</v>
      </c>
    </row>
    <row r="12" spans="1:11" ht="12.75">
      <c r="A12" s="37">
        <f t="shared" si="5"/>
        <v>70</v>
      </c>
      <c r="B12" s="42">
        <f>+Summary!E11</f>
        <v>0</v>
      </c>
      <c r="C12" s="44">
        <f>+Summary!G8</f>
        <v>43008</v>
      </c>
      <c r="D12" s="44">
        <f>+Summary!F11</f>
        <v>75256.58704622036</v>
      </c>
      <c r="E12" s="42">
        <f t="shared" si="0"/>
        <v>118264.58704622036</v>
      </c>
      <c r="G12" s="37">
        <f t="shared" si="1"/>
        <v>70</v>
      </c>
      <c r="H12" s="42">
        <f t="shared" si="2"/>
        <v>0</v>
      </c>
      <c r="I12" s="44">
        <f t="shared" si="3"/>
        <v>43008</v>
      </c>
      <c r="J12" s="44">
        <f>+Comparison!L12</f>
        <v>67512.67768984273</v>
      </c>
      <c r="K12" s="44">
        <f t="shared" si="4"/>
        <v>110520.67768984273</v>
      </c>
    </row>
    <row r="13" spans="1:11" ht="12.75">
      <c r="A13" s="37">
        <f t="shared" si="5"/>
        <v>71</v>
      </c>
      <c r="B13" s="42">
        <f>+Summary!E12</f>
        <v>0</v>
      </c>
      <c r="C13" s="44">
        <f>+Summary!G12</f>
        <v>48877.55671848</v>
      </c>
      <c r="D13" s="44">
        <f>+Summary!F12</f>
        <v>75256.58704622036</v>
      </c>
      <c r="E13" s="42">
        <f t="shared" si="0"/>
        <v>124134.14376470036</v>
      </c>
      <c r="G13" s="37">
        <f t="shared" si="1"/>
        <v>71</v>
      </c>
      <c r="H13" s="42">
        <f t="shared" si="2"/>
        <v>0</v>
      </c>
      <c r="I13" s="44">
        <f t="shared" si="3"/>
        <v>48877.55671848</v>
      </c>
      <c r="J13" s="44">
        <f>+Comparison!L13</f>
        <v>67512.67768984273</v>
      </c>
      <c r="K13" s="44">
        <f t="shared" si="4"/>
        <v>116390.23440832274</v>
      </c>
    </row>
    <row r="14" spans="1:11" ht="12.75">
      <c r="A14" s="37">
        <f t="shared" si="5"/>
        <v>72</v>
      </c>
      <c r="B14" s="42">
        <f>+Summary!E13</f>
        <v>0</v>
      </c>
      <c r="C14" s="44">
        <f>+Summary!G13</f>
        <v>50466.0773118306</v>
      </c>
      <c r="D14" s="44">
        <f>+Summary!F13</f>
        <v>75256.58704622036</v>
      </c>
      <c r="E14" s="42">
        <f t="shared" si="0"/>
        <v>125722.66435805097</v>
      </c>
      <c r="G14" s="37">
        <f t="shared" si="1"/>
        <v>72</v>
      </c>
      <c r="H14" s="42">
        <f t="shared" si="2"/>
        <v>0</v>
      </c>
      <c r="I14" s="44">
        <f t="shared" si="3"/>
        <v>50466.0773118306</v>
      </c>
      <c r="J14" s="44">
        <f>+Comparison!L14</f>
        <v>67512.67768984273</v>
      </c>
      <c r="K14" s="44">
        <f t="shared" si="4"/>
        <v>117978.75500167333</v>
      </c>
    </row>
    <row r="15" spans="1:11" ht="12.75">
      <c r="A15" s="37">
        <f t="shared" si="5"/>
        <v>73</v>
      </c>
      <c r="B15" s="42">
        <f>+Summary!E14</f>
        <v>0</v>
      </c>
      <c r="C15" s="44">
        <f>+Summary!G14</f>
        <v>52106.2248244651</v>
      </c>
      <c r="D15" s="44">
        <f>+Summary!F14</f>
        <v>75256.58704622036</v>
      </c>
      <c r="E15" s="42">
        <f t="shared" si="0"/>
        <v>127362.81187068546</v>
      </c>
      <c r="G15" s="37">
        <f t="shared" si="1"/>
        <v>73</v>
      </c>
      <c r="H15" s="42">
        <f t="shared" si="2"/>
        <v>0</v>
      </c>
      <c r="I15" s="44">
        <f t="shared" si="3"/>
        <v>52106.2248244651</v>
      </c>
      <c r="J15" s="44">
        <f>+Comparison!L15</f>
        <v>67512.67768984273</v>
      </c>
      <c r="K15" s="44">
        <f t="shared" si="4"/>
        <v>119618.90251430783</v>
      </c>
    </row>
    <row r="16" spans="1:11" ht="12.75">
      <c r="A16" s="37">
        <f t="shared" si="5"/>
        <v>74</v>
      </c>
      <c r="B16" s="42">
        <f>+Summary!E15</f>
        <v>0</v>
      </c>
      <c r="C16" s="44">
        <f>+Summary!G15</f>
        <v>53799.677131260214</v>
      </c>
      <c r="D16" s="44">
        <f>+Summary!F15</f>
        <v>75256.58704622036</v>
      </c>
      <c r="E16" s="42">
        <f t="shared" si="0"/>
        <v>129056.26417748057</v>
      </c>
      <c r="G16" s="37">
        <f t="shared" si="1"/>
        <v>74</v>
      </c>
      <c r="H16" s="42">
        <f t="shared" si="2"/>
        <v>0</v>
      </c>
      <c r="I16" s="44">
        <f t="shared" si="3"/>
        <v>53799.677131260214</v>
      </c>
      <c r="J16" s="44">
        <f>+Comparison!L16</f>
        <v>67512.67768984273</v>
      </c>
      <c r="K16" s="44">
        <f t="shared" si="4"/>
        <v>121312.35482110296</v>
      </c>
    </row>
    <row r="17" spans="1:11" ht="12.75">
      <c r="A17" s="37">
        <f t="shared" si="5"/>
        <v>75</v>
      </c>
      <c r="B17" s="42">
        <f>+Summary!E16</f>
        <v>0</v>
      </c>
      <c r="C17" s="44">
        <f>+Summary!G16</f>
        <v>55548.16663802617</v>
      </c>
      <c r="D17" s="44">
        <f>+Summary!F16</f>
        <v>75256.58704622036</v>
      </c>
      <c r="E17" s="42">
        <f t="shared" si="0"/>
        <v>130804.75368424653</v>
      </c>
      <c r="G17" s="37">
        <f t="shared" si="1"/>
        <v>75</v>
      </c>
      <c r="H17" s="42">
        <f t="shared" si="2"/>
        <v>0</v>
      </c>
      <c r="I17" s="44">
        <f t="shared" si="3"/>
        <v>55548.16663802617</v>
      </c>
      <c r="J17" s="44">
        <f>+Comparison!L17</f>
        <v>67512.67768984273</v>
      </c>
      <c r="K17" s="44">
        <f t="shared" si="4"/>
        <v>123060.8443278689</v>
      </c>
    </row>
    <row r="18" spans="1:11" ht="12.75">
      <c r="A18" s="37">
        <f t="shared" si="5"/>
        <v>76</v>
      </c>
      <c r="B18" s="42">
        <f>+Summary!E17</f>
        <v>0</v>
      </c>
      <c r="C18" s="44">
        <f>+Summary!G17</f>
        <v>57353.48205376202</v>
      </c>
      <c r="D18" s="44">
        <f>+Summary!F17</f>
        <v>75256.58704622036</v>
      </c>
      <c r="E18" s="42">
        <f t="shared" si="0"/>
        <v>132610.0690999824</v>
      </c>
      <c r="G18" s="37">
        <f t="shared" si="1"/>
        <v>76</v>
      </c>
      <c r="H18" s="42">
        <f t="shared" si="2"/>
        <v>0</v>
      </c>
      <c r="I18" s="44">
        <f t="shared" si="3"/>
        <v>57353.48205376202</v>
      </c>
      <c r="J18" s="44">
        <f>+Comparison!L18</f>
        <v>67512.67768984273</v>
      </c>
      <c r="K18" s="44">
        <f t="shared" si="4"/>
        <v>124866.15974360475</v>
      </c>
    </row>
    <row r="19" spans="1:11" ht="12.75">
      <c r="A19" s="37">
        <f t="shared" si="5"/>
        <v>77</v>
      </c>
      <c r="B19" s="42">
        <f>+Summary!E18</f>
        <v>0</v>
      </c>
      <c r="C19" s="44">
        <f>+Summary!G18</f>
        <v>59217.47022050928</v>
      </c>
      <c r="D19" s="44">
        <f>+Summary!F18</f>
        <v>75256.58704622036</v>
      </c>
      <c r="E19" s="42">
        <f t="shared" si="0"/>
        <v>134474.05726672965</v>
      </c>
      <c r="G19" s="37">
        <f t="shared" si="1"/>
        <v>77</v>
      </c>
      <c r="H19" s="42">
        <f t="shared" si="2"/>
        <v>0</v>
      </c>
      <c r="I19" s="44">
        <f t="shared" si="3"/>
        <v>59217.47022050928</v>
      </c>
      <c r="J19" s="44">
        <f>+Comparison!L19</f>
        <v>67512.67768984273</v>
      </c>
      <c r="K19" s="44">
        <f t="shared" si="4"/>
        <v>126730.14791035201</v>
      </c>
    </row>
    <row r="20" spans="1:11" ht="12.75">
      <c r="A20" s="37">
        <f t="shared" si="5"/>
        <v>78</v>
      </c>
      <c r="B20" s="42">
        <f>+Summary!E19</f>
        <v>0</v>
      </c>
      <c r="C20" s="44">
        <f>+Summary!G19</f>
        <v>61142.038002675836</v>
      </c>
      <c r="D20" s="44">
        <f>+Summary!F19</f>
        <v>75256.58704622036</v>
      </c>
      <c r="E20" s="42">
        <f t="shared" si="0"/>
        <v>136398.62504889618</v>
      </c>
      <c r="G20" s="37">
        <f t="shared" si="1"/>
        <v>78</v>
      </c>
      <c r="H20" s="42">
        <f t="shared" si="2"/>
        <v>0</v>
      </c>
      <c r="I20" s="44">
        <f t="shared" si="3"/>
        <v>61142.038002675836</v>
      </c>
      <c r="J20" s="44">
        <f>+Comparison!L20</f>
        <v>67512.67768984273</v>
      </c>
      <c r="K20" s="44">
        <f t="shared" si="4"/>
        <v>128654.71569251857</v>
      </c>
    </row>
    <row r="21" spans="1:11" ht="12.75">
      <c r="A21" s="37">
        <f t="shared" si="5"/>
        <v>79</v>
      </c>
      <c r="B21" s="42">
        <f>+Summary!E20</f>
        <v>0</v>
      </c>
      <c r="C21" s="44">
        <f>+Summary!G20</f>
        <v>63129.1542377628</v>
      </c>
      <c r="D21" s="44">
        <f>+Summary!F20</f>
        <v>75256.58704622036</v>
      </c>
      <c r="E21" s="42">
        <f t="shared" si="0"/>
        <v>138385.74128398317</v>
      </c>
      <c r="G21" s="37">
        <f t="shared" si="1"/>
        <v>79</v>
      </c>
      <c r="H21" s="42">
        <f t="shared" si="2"/>
        <v>0</v>
      </c>
      <c r="I21" s="44">
        <f t="shared" si="3"/>
        <v>63129.1542377628</v>
      </c>
      <c r="J21" s="44">
        <f>+Comparison!L21</f>
        <v>67512.67768984273</v>
      </c>
      <c r="K21" s="44">
        <f t="shared" si="4"/>
        <v>130641.83192760553</v>
      </c>
    </row>
    <row r="22" spans="1:11" ht="12.75">
      <c r="A22" s="37">
        <f t="shared" si="5"/>
        <v>80</v>
      </c>
      <c r="B22" s="42">
        <f>+Summary!E21</f>
        <v>0</v>
      </c>
      <c r="C22" s="44">
        <f>+Summary!G21</f>
        <v>65180.85175049009</v>
      </c>
      <c r="D22" s="44">
        <f>+Summary!F21</f>
        <v>75256.58704622036</v>
      </c>
      <c r="E22" s="42">
        <f t="shared" si="0"/>
        <v>140437.43879671046</v>
      </c>
      <c r="G22" s="37">
        <f t="shared" si="1"/>
        <v>80</v>
      </c>
      <c r="H22" s="42">
        <f t="shared" si="2"/>
        <v>0</v>
      </c>
      <c r="I22" s="44">
        <f t="shared" si="3"/>
        <v>65180.85175049009</v>
      </c>
      <c r="J22" s="44">
        <f>+Comparison!L22</f>
        <v>67512.67768984273</v>
      </c>
      <c r="K22" s="44">
        <f t="shared" si="4"/>
        <v>132693.52944033282</v>
      </c>
    </row>
    <row r="23" spans="1:11" ht="12.75">
      <c r="A23" s="37">
        <f t="shared" si="5"/>
        <v>81</v>
      </c>
      <c r="B23" s="42">
        <f>+Summary!E22</f>
        <v>0</v>
      </c>
      <c r="C23" s="44">
        <f>+Summary!G22</f>
        <v>67299.22943238102</v>
      </c>
      <c r="D23" s="44">
        <f>+Summary!F22</f>
        <v>75256.58704622036</v>
      </c>
      <c r="E23" s="42">
        <f t="shared" si="0"/>
        <v>142555.81647860137</v>
      </c>
      <c r="G23" s="37">
        <f t="shared" si="1"/>
        <v>81</v>
      </c>
      <c r="H23" s="42">
        <f t="shared" si="2"/>
        <v>0</v>
      </c>
      <c r="I23" s="44">
        <f t="shared" si="3"/>
        <v>67299.22943238102</v>
      </c>
      <c r="J23" s="44">
        <f>+Comparison!L23</f>
        <v>67512.67768984273</v>
      </c>
      <c r="K23" s="44">
        <f t="shared" si="4"/>
        <v>134811.90712222375</v>
      </c>
    </row>
    <row r="24" spans="1:11" ht="12.75">
      <c r="A24" s="37">
        <f t="shared" si="5"/>
        <v>82</v>
      </c>
      <c r="B24" s="42">
        <f>+Summary!E23</f>
        <v>0</v>
      </c>
      <c r="C24" s="44">
        <f>+Summary!G23</f>
        <v>69486.4543889334</v>
      </c>
      <c r="D24" s="44">
        <f>+Summary!F23</f>
        <v>75256.58704622036</v>
      </c>
      <c r="E24" s="42">
        <f t="shared" si="0"/>
        <v>144743.04143515375</v>
      </c>
      <c r="G24" s="37">
        <f t="shared" si="1"/>
        <v>82</v>
      </c>
      <c r="H24" s="42">
        <f t="shared" si="2"/>
        <v>0</v>
      </c>
      <c r="I24" s="44">
        <f t="shared" si="3"/>
        <v>69486.4543889334</v>
      </c>
      <c r="J24" s="44">
        <f>+Comparison!L24</f>
        <v>67512.67768984273</v>
      </c>
      <c r="K24" s="44">
        <f t="shared" si="4"/>
        <v>136999.13207877614</v>
      </c>
    </row>
    <row r="25" spans="1:11" ht="12.75">
      <c r="A25" s="37">
        <f t="shared" si="5"/>
        <v>83</v>
      </c>
      <c r="B25" s="42">
        <f>+Summary!E24</f>
        <v>0</v>
      </c>
      <c r="C25" s="44">
        <f>+Summary!G24</f>
        <v>71744.76415657373</v>
      </c>
      <c r="D25" s="44">
        <f>+Summary!F24</f>
        <v>75256.58704622036</v>
      </c>
      <c r="E25" s="42">
        <f t="shared" si="0"/>
        <v>147001.3512027941</v>
      </c>
      <c r="G25" s="37">
        <f t="shared" si="1"/>
        <v>83</v>
      </c>
      <c r="H25" s="42">
        <f t="shared" si="2"/>
        <v>0</v>
      </c>
      <c r="I25" s="44">
        <f t="shared" si="3"/>
        <v>71744.76415657373</v>
      </c>
      <c r="J25" s="44">
        <f>+Comparison!L25</f>
        <v>67512.67768984273</v>
      </c>
      <c r="K25" s="44">
        <f t="shared" si="4"/>
        <v>139257.44184641645</v>
      </c>
    </row>
    <row r="26" spans="1:11" ht="12.75">
      <c r="A26" s="37">
        <f t="shared" si="5"/>
        <v>84</v>
      </c>
      <c r="B26" s="42">
        <f>+Summary!E25</f>
        <v>0</v>
      </c>
      <c r="C26" s="44">
        <f>+Summary!G25</f>
        <v>74076.46899166238</v>
      </c>
      <c r="D26" s="44">
        <f>+Summary!F25</f>
        <v>75255.587046222</v>
      </c>
      <c r="E26" s="42">
        <f t="shared" si="0"/>
        <v>149332.05603788438</v>
      </c>
      <c r="G26" s="37">
        <f t="shared" si="1"/>
        <v>84</v>
      </c>
      <c r="H26" s="42">
        <f t="shared" si="2"/>
        <v>0</v>
      </c>
      <c r="I26" s="44">
        <f t="shared" si="3"/>
        <v>74076.46899166238</v>
      </c>
      <c r="J26" s="44">
        <f>+Comparison!L26</f>
        <v>67512.67768984273</v>
      </c>
      <c r="K26" s="44">
        <f t="shared" si="4"/>
        <v>141589.1466815051</v>
      </c>
    </row>
    <row r="28" spans="1:11" ht="12.75">
      <c r="A28" s="46" t="s">
        <v>69</v>
      </c>
      <c r="E28" s="47">
        <f>+E7/Summary!$B$26</f>
        <v>0.6388196574912216</v>
      </c>
      <c r="G28" s="46" t="s">
        <v>69</v>
      </c>
      <c r="K28" s="47">
        <f>+K7/Summary!$B$26</f>
        <v>0.935</v>
      </c>
    </row>
    <row r="29" spans="1:11" ht="12.75">
      <c r="A29" s="46" t="s">
        <v>70</v>
      </c>
      <c r="E29" s="47">
        <f>+E9/Summary!$B$26</f>
        <v>1.0038954190655343</v>
      </c>
      <c r="G29" s="46" t="s">
        <v>70</v>
      </c>
      <c r="K29" s="47">
        <f>+K9/Summary!$B$26</f>
        <v>0.9381608207154132</v>
      </c>
    </row>
    <row r="30" spans="1:11" ht="12.75">
      <c r="A30" s="46" t="s">
        <v>98</v>
      </c>
      <c r="E30" s="47">
        <f>+E26/Data!$W$15</f>
        <v>0.66862958783975</v>
      </c>
      <c r="G30" s="46" t="str">
        <f>+A30</f>
        <v>Age 84 Inflation Adjusted RR</v>
      </c>
      <c r="K30" s="47">
        <f>+K26/Data!$W$15</f>
        <v>0.6339609545335627</v>
      </c>
    </row>
    <row r="32" spans="1:2" ht="12.75">
      <c r="A32" s="37" t="s">
        <v>79</v>
      </c>
      <c r="B32" s="38" t="s">
        <v>87</v>
      </c>
    </row>
    <row r="33" spans="1:2" ht="12.75">
      <c r="A33" s="37" t="s">
        <v>81</v>
      </c>
      <c r="B33" s="38" t="s">
        <v>82</v>
      </c>
    </row>
    <row r="35" spans="8:10" ht="12.75">
      <c r="H35" s="42">
        <f>SUM(H7:H34)</f>
        <v>0</v>
      </c>
      <c r="I35" s="56">
        <f>SUM(I7:I34)</f>
        <v>1025698.3230588126</v>
      </c>
      <c r="J35" s="56">
        <f>SUM(J7:J34)</f>
        <v>1435524.8285007009</v>
      </c>
    </row>
  </sheetData>
  <mergeCells count="5">
    <mergeCell ref="B5:E5"/>
    <mergeCell ref="H5:K5"/>
    <mergeCell ref="A1:K1"/>
    <mergeCell ref="B3:E3"/>
    <mergeCell ref="H3:K3"/>
  </mergeCells>
  <printOptions horizontalCentered="1"/>
  <pageMargins left="0.5" right="0.5" top="0.77" bottom="0.49" header="0.5" footer="0.5"/>
  <pageSetup fitToHeight="1" fitToWidth="1" horizontalDpi="600" verticalDpi="600" orientation="landscape" r:id="rId1"/>
  <headerFooter alignWithMargins="0">
    <oddHeader>&amp;L&amp;8CS
&amp;F&amp;C&amp;"Tahoma,Bold"&amp;16Benefit Projection - Defined Contribution Plan + SSA &amp;R&amp;8&amp;D
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A1">
      <pane xSplit="1" topLeftCell="Y1" activePane="topRight" state="frozen"/>
      <selection pane="topLeft" activeCell="A1" sqref="A1"/>
      <selection pane="topRight" activeCell="AG33" sqref="AG33"/>
    </sheetView>
  </sheetViews>
  <sheetFormatPr defaultColWidth="8.88671875" defaultRowHeight="15"/>
  <cols>
    <col min="1" max="1" width="17.21484375" style="0" bestFit="1" customWidth="1"/>
    <col min="2" max="7" width="7.77734375" style="7" customWidth="1"/>
    <col min="8" max="8" width="9.77734375" style="7" bestFit="1" customWidth="1"/>
    <col min="9" max="9" width="7.99609375" style="7" bestFit="1" customWidth="1"/>
    <col min="10" max="10" width="8.77734375" style="7" bestFit="1" customWidth="1"/>
    <col min="11" max="11" width="10.4453125" style="7" bestFit="1" customWidth="1"/>
    <col min="12" max="12" width="8.88671875" style="7" bestFit="1" customWidth="1"/>
    <col min="13" max="13" width="10.4453125" style="7" bestFit="1" customWidth="1"/>
    <col min="14" max="14" width="8.88671875" style="7" bestFit="1" customWidth="1"/>
    <col min="15" max="15" width="8.99609375" style="7" bestFit="1" customWidth="1"/>
    <col min="16" max="31" width="8.88671875" style="7" bestFit="1" customWidth="1"/>
    <col min="32" max="32" width="11.4453125" style="0" bestFit="1" customWidth="1"/>
  </cols>
  <sheetData>
    <row r="3" ht="15">
      <c r="A3" s="3" t="s">
        <v>13</v>
      </c>
    </row>
    <row r="4" spans="1:31" ht="15">
      <c r="A4" t="s">
        <v>15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  <c r="V4" s="8">
        <v>21</v>
      </c>
      <c r="W4" s="8">
        <v>22</v>
      </c>
      <c r="X4" s="8">
        <v>23</v>
      </c>
      <c r="Y4" s="8">
        <v>24</v>
      </c>
      <c r="Z4" s="8">
        <v>25</v>
      </c>
      <c r="AA4" s="8">
        <v>26</v>
      </c>
      <c r="AB4" s="8">
        <v>27</v>
      </c>
      <c r="AC4" s="8">
        <v>28</v>
      </c>
      <c r="AD4" s="8">
        <v>29</v>
      </c>
      <c r="AE4" s="8">
        <v>30</v>
      </c>
    </row>
    <row r="5" spans="2:30" s="53" customFormat="1" ht="15">
      <c r="B5" s="53">
        <v>0.0775</v>
      </c>
      <c r="C5" s="53">
        <v>0.0735</v>
      </c>
      <c r="D5" s="53">
        <v>0.0695</v>
      </c>
      <c r="E5" s="53">
        <v>0.0655</v>
      </c>
      <c r="F5" s="53">
        <v>0.0635</v>
      </c>
      <c r="G5" s="53">
        <v>0.0615</v>
      </c>
      <c r="H5" s="53">
        <v>0.0595</v>
      </c>
      <c r="I5" s="53">
        <v>0.0575</v>
      </c>
      <c r="J5" s="53">
        <v>0.0555</v>
      </c>
      <c r="K5" s="53">
        <v>0.0545</v>
      </c>
      <c r="L5" s="53">
        <v>0.0535</v>
      </c>
      <c r="M5" s="53">
        <v>0.0525</v>
      </c>
      <c r="N5" s="53">
        <v>0.0515</v>
      </c>
      <c r="O5" s="53">
        <v>0.0505</v>
      </c>
      <c r="P5" s="53">
        <v>0.0495</v>
      </c>
      <c r="Q5" s="53">
        <v>0.0485</v>
      </c>
      <c r="R5" s="53">
        <v>0.0475</v>
      </c>
      <c r="S5" s="53">
        <v>0.0465</v>
      </c>
      <c r="T5" s="53">
        <v>0.0455</v>
      </c>
      <c r="U5" s="53">
        <v>0.0455</v>
      </c>
      <c r="V5" s="53">
        <v>0.0445</v>
      </c>
      <c r="W5" s="53">
        <v>0.0445</v>
      </c>
      <c r="X5" s="53">
        <v>0.0435</v>
      </c>
      <c r="Y5" s="53">
        <v>0.0435</v>
      </c>
      <c r="Z5" s="53">
        <v>0.0425</v>
      </c>
      <c r="AA5" s="53">
        <v>0.0425</v>
      </c>
      <c r="AB5" s="53">
        <v>0.0425</v>
      </c>
      <c r="AC5" s="53">
        <v>0.0425</v>
      </c>
      <c r="AD5" s="53">
        <v>0.0425</v>
      </c>
    </row>
    <row r="6" spans="1:31" ht="15">
      <c r="A6" t="s">
        <v>14</v>
      </c>
      <c r="B6" s="28">
        <f>+Summary!B21</f>
        <v>28000</v>
      </c>
      <c r="C6" s="28">
        <f>+B6*(1+B5)</f>
        <v>30169.999999999996</v>
      </c>
      <c r="D6" s="28">
        <f aca="true" t="shared" si="0" ref="D6:AE6">+C6*(1+C5)</f>
        <v>32387.49499999999</v>
      </c>
      <c r="E6" s="28">
        <f t="shared" si="0"/>
        <v>34638.42590249999</v>
      </c>
      <c r="F6" s="28">
        <f t="shared" si="0"/>
        <v>36907.242799113745</v>
      </c>
      <c r="G6" s="28">
        <f t="shared" si="0"/>
        <v>39250.852716857466</v>
      </c>
      <c r="H6" s="28">
        <f t="shared" si="0"/>
        <v>41664.7801589442</v>
      </c>
      <c r="I6" s="28">
        <f t="shared" si="0"/>
        <v>44143.83457840138</v>
      </c>
      <c r="J6" s="28">
        <f t="shared" si="0"/>
        <v>46682.10506665947</v>
      </c>
      <c r="K6" s="28">
        <f t="shared" si="0"/>
        <v>49272.96189785907</v>
      </c>
      <c r="L6" s="28">
        <f t="shared" si="0"/>
        <v>51958.338321292395</v>
      </c>
      <c r="M6" s="28">
        <f t="shared" si="0"/>
        <v>54738.109421481546</v>
      </c>
      <c r="N6" s="28">
        <f t="shared" si="0"/>
        <v>57611.86016610933</v>
      </c>
      <c r="O6" s="28">
        <f t="shared" si="0"/>
        <v>60578.87096466396</v>
      </c>
      <c r="P6" s="28">
        <f t="shared" si="0"/>
        <v>63638.10394837949</v>
      </c>
      <c r="Q6" s="28">
        <f t="shared" si="0"/>
        <v>66788.19009382428</v>
      </c>
      <c r="R6" s="28">
        <f t="shared" si="0"/>
        <v>70027.41731337475</v>
      </c>
      <c r="S6" s="28">
        <f t="shared" si="0"/>
        <v>73353.71963576006</v>
      </c>
      <c r="T6" s="28">
        <f t="shared" si="0"/>
        <v>76764.66759882291</v>
      </c>
      <c r="U6" s="28">
        <f t="shared" si="0"/>
        <v>80257.45997456936</v>
      </c>
      <c r="V6" s="28">
        <f t="shared" si="0"/>
        <v>83909.17440341227</v>
      </c>
      <c r="W6" s="28">
        <f t="shared" si="0"/>
        <v>87643.13266436411</v>
      </c>
      <c r="X6" s="28">
        <f t="shared" si="0"/>
        <v>91543.2520679283</v>
      </c>
      <c r="Y6" s="28">
        <f t="shared" si="0"/>
        <v>95525.38353288319</v>
      </c>
      <c r="Z6" s="28">
        <f t="shared" si="0"/>
        <v>99680.73771656361</v>
      </c>
      <c r="AA6" s="28">
        <f t="shared" si="0"/>
        <v>103917.16906951756</v>
      </c>
      <c r="AB6" s="28">
        <f t="shared" si="0"/>
        <v>108333.64875497206</v>
      </c>
      <c r="AC6" s="28">
        <f t="shared" si="0"/>
        <v>112937.82882705837</v>
      </c>
      <c r="AD6" s="28">
        <f t="shared" si="0"/>
        <v>117737.68655220835</v>
      </c>
      <c r="AE6" s="28">
        <f t="shared" si="0"/>
        <v>122741.53823067721</v>
      </c>
    </row>
    <row r="8" spans="1:31" ht="15">
      <c r="A8" t="s">
        <v>43</v>
      </c>
      <c r="B8" s="34">
        <f>(+B6*Summary!$B$8)+(Data!B6*Summary!$B$10)+(Data!B6*Summary!$B$12)+(B6*Summary!$B$9)+(B6*Summary!$B$11)</f>
        <v>3360</v>
      </c>
      <c r="C8" s="34">
        <f>(+C6*Summary!$B$8)+(Data!C6*Summary!$B$10)+(Data!C6*Summary!$B$12)+(C6*Summary!$B$9)+(C6*Summary!$B$11)</f>
        <v>3620.3999999999996</v>
      </c>
      <c r="D8" s="34">
        <f>(+D6*Summary!$B$8)+(Data!D6*Summary!$B$10)+(Data!D6*Summary!$B$12)+(D6*Summary!$B$9)+(D6*Summary!$B$11)</f>
        <v>3886.499399999999</v>
      </c>
      <c r="E8" s="34">
        <f>(+E6*Summary!$B$8)+(Data!E6*Summary!$B$10)+(Data!E6*Summary!$B$12)+(E6*Summary!$B$9)+(E6*Summary!$B$11)</f>
        <v>4156.611108299999</v>
      </c>
      <c r="F8" s="34">
        <f>(+F6*Summary!$B$8)+(Data!F6*Summary!$B$10)+(Data!F6*Summary!$B$12)+(F6*Summary!$B$9)+(F6*Summary!$B$11)</f>
        <v>4428.869135893649</v>
      </c>
      <c r="G8" s="34">
        <f>(+G6*Summary!$B$8)+(Data!G6*Summary!$B$10)+(Data!G6*Summary!$B$12)+(G6*Summary!$B$9)+(G6*Summary!$B$11)</f>
        <v>4710.102326022896</v>
      </c>
      <c r="H8" s="34">
        <f>(+H6*Summary!$B$8)+(Data!H6*Summary!$B$10)+(Data!H6*Summary!$B$12)+(H6*Summary!$B$9)+(H6*Summary!$B$11)</f>
        <v>4999.773619073304</v>
      </c>
      <c r="I8" s="34">
        <f>(+I6*Summary!$B$8)+(Data!I6*Summary!$B$10)+(Data!I6*Summary!$B$12)+(I6*Summary!$B$9)+(I6*Summary!$B$11)</f>
        <v>5297.2601494081655</v>
      </c>
      <c r="J8" s="34">
        <f>(+J6*Summary!$B$8)+(Data!J6*Summary!$B$10)+(Data!J6*Summary!$B$12)+(J6*Summary!$B$9)+(J6*Summary!$B$11)</f>
        <v>5601.852607999136</v>
      </c>
      <c r="K8" s="34">
        <f>(+K6*Summary!$B$8)+(Data!K6*Summary!$B$10)+(Data!K6*Summary!$B$12)+(K6*Summary!$B$9)+(K6*Summary!$B$11)</f>
        <v>5912.755427743088</v>
      </c>
      <c r="L8" s="34">
        <f>(+L6*Summary!$B$8)+(Data!L6*Summary!$B$10)+(Data!L6*Summary!$B$12)+(L6*Summary!$B$9)+(L6*Summary!$B$11)</f>
        <v>6235.000598555087</v>
      </c>
      <c r="M8" s="34">
        <f>(+M6*Summary!$B$8)+(Data!M6*Summary!$B$10)+(Data!M6*Summary!$B$12)+(M6*Summary!$B$9)+(M6*Summary!$B$11)</f>
        <v>6568.573130577785</v>
      </c>
      <c r="N8" s="34">
        <f>(+N6*Summary!$B$8)+(Data!N6*Summary!$B$10)+(Data!N6*Summary!$B$12)+(N6*Summary!$B$9)+(N6*Summary!$B$11)</f>
        <v>6913.423219933119</v>
      </c>
      <c r="O8" s="34">
        <f>(+O6*Summary!$B$8)+(Data!O6*Summary!$B$10)+(Data!O6*Summary!$B$12)+(O6*Summary!$B$9)+(O6*Summary!$B$11)</f>
        <v>7269.464515759675</v>
      </c>
      <c r="P8" s="34">
        <f>(+P6*Summary!$B$8)+(Data!P6*Summary!$B$10)+(Data!P6*Summary!$B$12)+(P6*Summary!$B$9)+(P6*Summary!$B$11)</f>
        <v>7636.572473805539</v>
      </c>
      <c r="Q8" s="34">
        <f>(+Q6*Summary!$B$8)+(Data!Q6*Summary!$B$10)+(Data!Q6*Summary!$B$12)+(Q6*Summary!$B$9)+(Q6*Summary!$B$11)</f>
        <v>8014.582811258912</v>
      </c>
      <c r="R8" s="34">
        <f>(+R6*Summary!$B$8)+(Data!R6*Summary!$B$10)+(Data!R6*Summary!$B$12)+(R6*Summary!$B$9)+(R6*Summary!$B$11)</f>
        <v>8403.29007760497</v>
      </c>
      <c r="S8" s="34">
        <f>(+S6*Summary!$B$8)+(Data!S6*Summary!$B$10)+(Data!S6*Summary!$B$12)+(S6*Summary!$B$9)+(S6*Summary!$B$11)</f>
        <v>8802.446356291208</v>
      </c>
      <c r="T8" s="34">
        <f>(+T6*Summary!$B$8)+(Data!T6*Summary!$B$10)+(Data!T6*Summary!$B$12)+(T6*Summary!$B$9)+(T6*Summary!$B$11)</f>
        <v>9211.760111858748</v>
      </c>
      <c r="U8" s="34">
        <f>(+U6*Summary!$B$8)+(Data!U6*Summary!$B$10)+(Data!U6*Summary!$B$12)+(U6*Summary!$B$9)+(U6*Summary!$B$11)</f>
        <v>9630.895196948322</v>
      </c>
      <c r="V8" s="34">
        <f>(+V6*Summary!$B$8)+(Data!V6*Summary!$B$10)+(Data!V6*Summary!$B$12)+(V6*Summary!$B$9)+(V6*Summary!$B$11)</f>
        <v>10069.100928409473</v>
      </c>
      <c r="W8" s="34">
        <f>(+W6*Summary!$B$8)+(Data!W6*Summary!$B$10)+(Data!W6*Summary!$B$12)+(W6*Summary!$B$9)+(W6*Summary!$B$11)</f>
        <v>10517.175919723693</v>
      </c>
      <c r="X8" s="34">
        <f>(+X6*Summary!$B$8)+(Data!X6*Summary!$B$10)+(Data!X6*Summary!$B$12)+(X6*Summary!$B$9)+(X6*Summary!$B$11)</f>
        <v>10985.190248151395</v>
      </c>
      <c r="Y8" s="34">
        <f>(+Y6*Summary!$B$8)+(Data!Y6*Summary!$B$10)+(Data!Y6*Summary!$B$12)+(Y6*Summary!$B$9)+(Y6*Summary!$B$11)</f>
        <v>11463.046023945983</v>
      </c>
      <c r="Z8" s="34">
        <f>(+Z6*Summary!$B$8)+(Data!Z6*Summary!$B$10)+(Data!Z6*Summary!$B$12)+(Z6*Summary!$B$9)+(Z6*Summary!$B$11)</f>
        <v>11961.688525987633</v>
      </c>
      <c r="AA8" s="34">
        <f>(+AA6*Summary!$B$8)+(Data!AA6*Summary!$B$10)+(Data!AA6*Summary!$B$12)+(AA6*Summary!$B$9)+(AA6*Summary!$B$11)</f>
        <v>12470.060288342107</v>
      </c>
      <c r="AB8" s="34">
        <f>(+AB6*Summary!$B$8)+(Data!AB6*Summary!$B$10)+(Data!AB6*Summary!$B$12)+(AB6*Summary!$B$9)+(AB6*Summary!$B$11)</f>
        <v>13000.037850596647</v>
      </c>
      <c r="AC8" s="34">
        <f>(+AC6*Summary!$B$8)+(Data!AC6*Summary!$B$10)+(Data!AC6*Summary!$B$12)+(AC6*Summary!$B$9)+(AC6*Summary!$B$11)</f>
        <v>13552.539459247004</v>
      </c>
      <c r="AD8" s="34">
        <f>(+AD6*Summary!$B$8)+(Data!AD6*Summary!$B$10)+(Data!AD6*Summary!$B$12)+(AD6*Summary!$B$9)+(AD6*Summary!$B$11)</f>
        <v>14128.522386265002</v>
      </c>
      <c r="AE8" s="34">
        <f>(+AE6*Summary!$B$8)+(Data!AE6*Summary!$B$10)+(Data!AE6*Summary!$B$12)+(AE6*Summary!$B$9)+(AE6*Summary!$B$11)</f>
        <v>14728.984587681265</v>
      </c>
    </row>
    <row r="9" spans="1:31" ht="15">
      <c r="A9" t="s">
        <v>44</v>
      </c>
      <c r="B9" s="34">
        <f>((B8)*(Summary!$B$13/2))</f>
        <v>134.4</v>
      </c>
      <c r="C9" s="34">
        <f>(B10*Summary!$B$13)+(C8*(Summary!$B$13/2))</f>
        <v>424.36800000000005</v>
      </c>
      <c r="D9" s="34">
        <f>(C10*Summary!$B$13)+(D8*(Summary!$B$13/2))</f>
        <v>758.5934159999999</v>
      </c>
      <c r="E9" s="34">
        <f>(D10*Summary!$B$13)+(E8*(Summary!$B$13/2))</f>
        <v>1141.0053096119998</v>
      </c>
      <c r="F9" s="34">
        <f>(E10*Summary!$B$13)+(F8*(Summary!$B$13/2))</f>
        <v>1575.7049441487056</v>
      </c>
      <c r="G9" s="34">
        <f>(F10*Summary!$B$13)+(G8*(Summary!$B$13/2))</f>
        <v>2067.3201981572643</v>
      </c>
      <c r="H9" s="34">
        <f>(G10*Summary!$B$13)+(H8*(Summary!$B$13/2))</f>
        <v>2621.1008518136928</v>
      </c>
      <c r="I9" s="34">
        <f>(H10*Summary!$B$13)+(I8*(Summary!$B$13/2))</f>
        <v>3242.6702706980477</v>
      </c>
      <c r="J9" s="34">
        <f>(I10*Summary!$B$13)+(J8*(Summary!$B$13/2))</f>
        <v>3938.048402650184</v>
      </c>
      <c r="K9" s="34">
        <f>(J10*Summary!$B$13)+(K8*(Summary!$B$13/2))</f>
        <v>4713.676596291887</v>
      </c>
      <c r="L9" s="34">
        <f>(K10*Summary!$B$13)+(L8*(Summary!$B$13/2))</f>
        <v>5576.680965047166</v>
      </c>
      <c r="M9" s="34">
        <f>(L10*Summary!$B$13)+(M8*(Summary!$B$13/2))</f>
        <v>6534.958391416254</v>
      </c>
      <c r="N9" s="34">
        <f>(M10*Summary!$B$13)+(N8*(Summary!$B$13/2))</f>
        <v>7597.03491674999</v>
      </c>
      <c r="O9" s="34">
        <f>(N10*Summary!$B$13)+(O8*(Summary!$B$13/2))</f>
        <v>8772.113219517702</v>
      </c>
      <c r="P9" s="34">
        <f>(O10*Summary!$B$13)+(P8*(Summary!$B$13/2))</f>
        <v>10070.123756661726</v>
      </c>
      <c r="Q9" s="34">
        <f>(P10*Summary!$B$13)+(Q8*(Summary!$B$13/2))</f>
        <v>11501.779868597245</v>
      </c>
      <c r="R9" s="34">
        <f>(Q10*Summary!$B$13)+(R8*(Summary!$B$13/2))</f>
        <v>13078.63717363958</v>
      </c>
      <c r="S9" s="34">
        <f>(R10*Summary!$B$13)+(S8*(Summary!$B$13/2))</f>
        <v>14813.157604886592</v>
      </c>
      <c r="T9" s="34">
        <f>(S10*Summary!$B$13)+(T8*(Summary!$B$13/2))</f>
        <v>16718.77847200352</v>
      </c>
      <c r="U9" s="34">
        <f>(T10*Summary!$B$13)+(U8*(Summary!$B$13/2))</f>
        <v>18809.986962116083</v>
      </c>
      <c r="V9" s="34">
        <f>(U10*Summary!$B$13)+(V8*(Summary!$B$13/2))</f>
        <v>21102.78576409968</v>
      </c>
      <c r="W9" s="34">
        <f>(V10*Summary!$B$13)+(W8*(Summary!$B$13/2))</f>
        <v>23614.45969915298</v>
      </c>
      <c r="X9" s="34">
        <f>(W10*Summary!$B$13)+(X8*(Summary!$B$13/2))</f>
        <v>26363.711121800225</v>
      </c>
      <c r="Y9" s="34">
        <f>(X10*Summary!$B$13)+(Y8*(Summary!$B$13/2))</f>
        <v>29370.73746242814</v>
      </c>
      <c r="Z9" s="34">
        <f>(Y10*Summary!$B$13)+(Z8*(Summary!$B$13/2))</f>
        <v>32657.385841419735</v>
      </c>
      <c r="AA9" s="34">
        <f>(Z10*Summary!$B$13)+(AA8*(Summary!$B$13/2))</f>
        <v>36247.2466613065</v>
      </c>
      <c r="AB9" s="34">
        <f>(AA10*Summary!$B$13)+(AB8*(Summary!$B$13/2))</f>
        <v>40165.830319768575</v>
      </c>
      <c r="AC9" s="34">
        <f>(AB10*Summary!$B$13)+(AC8*(Summary!$B$13/2))</f>
        <v>44441.19983774381</v>
      </c>
      <c r="AD9" s="34">
        <f>(AC10*Summary!$B$13)+(AD8*(Summary!$B$13/2))</f>
        <v>49103.73829858378</v>
      </c>
      <c r="AE9" s="34">
        <f>(AD10*Summary!$B$13)+(AE8*(Summary!$B$13/2))</f>
        <v>54186.337641428334</v>
      </c>
    </row>
    <row r="10" spans="1:31" ht="15" thickBot="1">
      <c r="A10" t="s">
        <v>45</v>
      </c>
      <c r="B10" s="22">
        <f>SUM(B8:B9)</f>
        <v>3494.4</v>
      </c>
      <c r="C10" s="22">
        <f aca="true" t="shared" si="1" ref="C10:AE10">+B10+C8+C9</f>
        <v>7539.168</v>
      </c>
      <c r="D10" s="22">
        <f t="shared" si="1"/>
        <v>12184.260815999998</v>
      </c>
      <c r="E10" s="22">
        <f t="shared" si="1"/>
        <v>17481.877233911997</v>
      </c>
      <c r="F10" s="22">
        <f t="shared" si="1"/>
        <v>23486.451313954352</v>
      </c>
      <c r="G10" s="22">
        <f t="shared" si="1"/>
        <v>30263.87383813451</v>
      </c>
      <c r="H10" s="22">
        <f t="shared" si="1"/>
        <v>37884.74830902151</v>
      </c>
      <c r="I10" s="22">
        <f t="shared" si="1"/>
        <v>46424.67872912773</v>
      </c>
      <c r="J10" s="22">
        <f t="shared" si="1"/>
        <v>55964.57973977705</v>
      </c>
      <c r="K10" s="22">
        <f t="shared" si="1"/>
        <v>66591.01176381203</v>
      </c>
      <c r="L10" s="22">
        <f t="shared" si="1"/>
        <v>78402.69332741428</v>
      </c>
      <c r="M10" s="22">
        <f t="shared" si="1"/>
        <v>91506.22484940832</v>
      </c>
      <c r="N10" s="22">
        <f t="shared" si="1"/>
        <v>106016.68298609143</v>
      </c>
      <c r="O10" s="22">
        <f t="shared" si="1"/>
        <v>122058.26072136882</v>
      </c>
      <c r="P10" s="22">
        <f t="shared" si="1"/>
        <v>139764.9569518361</v>
      </c>
      <c r="Q10" s="22">
        <f t="shared" si="1"/>
        <v>159281.31963169225</v>
      </c>
      <c r="R10" s="22">
        <f t="shared" si="1"/>
        <v>180763.2468829368</v>
      </c>
      <c r="S10" s="22">
        <f t="shared" si="1"/>
        <v>204378.8508441146</v>
      </c>
      <c r="T10" s="22">
        <f t="shared" si="1"/>
        <v>230309.3894279769</v>
      </c>
      <c r="U10" s="22">
        <f t="shared" si="1"/>
        <v>258750.2715870413</v>
      </c>
      <c r="V10" s="22">
        <f t="shared" si="1"/>
        <v>289922.15827955044</v>
      </c>
      <c r="W10" s="22">
        <f t="shared" si="1"/>
        <v>324053.7938984271</v>
      </c>
      <c r="X10" s="22">
        <f t="shared" si="1"/>
        <v>361402.6952683787</v>
      </c>
      <c r="Y10" s="22">
        <f t="shared" si="1"/>
        <v>402236.47875475284</v>
      </c>
      <c r="Z10" s="22">
        <f t="shared" si="1"/>
        <v>446855.5531221602</v>
      </c>
      <c r="AA10" s="22">
        <f t="shared" si="1"/>
        <v>495572.8600718088</v>
      </c>
      <c r="AB10" s="22">
        <f t="shared" si="1"/>
        <v>548738.728242174</v>
      </c>
      <c r="AC10" s="22">
        <f t="shared" si="1"/>
        <v>606732.4675391648</v>
      </c>
      <c r="AD10" s="22">
        <f t="shared" si="1"/>
        <v>669964.7282240136</v>
      </c>
      <c r="AE10" s="22">
        <f t="shared" si="1"/>
        <v>738880.0504531232</v>
      </c>
    </row>
    <row r="11" ht="15" thickTop="1"/>
    <row r="12" spans="1:31" ht="15">
      <c r="A12" t="s">
        <v>62</v>
      </c>
      <c r="B12" s="36">
        <f aca="true" t="shared" si="2" ref="B12:AE12">+B8/B6</f>
        <v>0.12</v>
      </c>
      <c r="C12" s="36">
        <f t="shared" si="2"/>
        <v>0.12</v>
      </c>
      <c r="D12" s="36">
        <f t="shared" si="2"/>
        <v>0.12</v>
      </c>
      <c r="E12" s="36">
        <f t="shared" si="2"/>
        <v>0.12</v>
      </c>
      <c r="F12" s="36">
        <f>+F8/F6</f>
        <v>0.12</v>
      </c>
      <c r="G12" s="36">
        <f t="shared" si="2"/>
        <v>0.12</v>
      </c>
      <c r="H12" s="36">
        <f t="shared" si="2"/>
        <v>0.12</v>
      </c>
      <c r="I12" s="36">
        <f t="shared" si="2"/>
        <v>0.12</v>
      </c>
      <c r="J12" s="36">
        <f t="shared" si="2"/>
        <v>0.12</v>
      </c>
      <c r="K12" s="36">
        <f t="shared" si="2"/>
        <v>0.11999999999999998</v>
      </c>
      <c r="L12" s="36">
        <f t="shared" si="2"/>
        <v>0.12</v>
      </c>
      <c r="M12" s="36">
        <f t="shared" si="2"/>
        <v>0.12</v>
      </c>
      <c r="N12" s="36">
        <f t="shared" si="2"/>
        <v>0.12</v>
      </c>
      <c r="O12" s="36">
        <f t="shared" si="2"/>
        <v>0.12</v>
      </c>
      <c r="P12" s="36">
        <f t="shared" si="2"/>
        <v>0.12</v>
      </c>
      <c r="Q12" s="36">
        <f t="shared" si="2"/>
        <v>0.12</v>
      </c>
      <c r="R12" s="36">
        <f t="shared" si="2"/>
        <v>0.12</v>
      </c>
      <c r="S12" s="36">
        <f t="shared" si="2"/>
        <v>0.12000000000000001</v>
      </c>
      <c r="T12" s="36">
        <f t="shared" si="2"/>
        <v>0.11999999999999998</v>
      </c>
      <c r="U12" s="36">
        <f t="shared" si="2"/>
        <v>0.12</v>
      </c>
      <c r="V12" s="36">
        <f t="shared" si="2"/>
        <v>0.12000000000000001</v>
      </c>
      <c r="W12" s="36">
        <f t="shared" si="2"/>
        <v>0.12000000000000001</v>
      </c>
      <c r="X12" s="36">
        <f t="shared" si="2"/>
        <v>0.11999999999999998</v>
      </c>
      <c r="Y12" s="36">
        <f t="shared" si="2"/>
        <v>0.12</v>
      </c>
      <c r="Z12" s="36">
        <f t="shared" si="2"/>
        <v>0.12</v>
      </c>
      <c r="AA12" s="36">
        <f t="shared" si="2"/>
        <v>0.12</v>
      </c>
      <c r="AB12" s="36">
        <f t="shared" si="2"/>
        <v>0.12</v>
      </c>
      <c r="AC12" s="36">
        <f t="shared" si="2"/>
        <v>0.12</v>
      </c>
      <c r="AD12" s="36">
        <f t="shared" si="2"/>
        <v>0.12</v>
      </c>
      <c r="AE12" s="36">
        <f t="shared" si="2"/>
        <v>0.12</v>
      </c>
    </row>
    <row r="14" spans="1:23" ht="15">
      <c r="A14" s="4" t="s">
        <v>56</v>
      </c>
      <c r="D14" s="7" t="s">
        <v>76</v>
      </c>
      <c r="F14" s="7" t="s">
        <v>22</v>
      </c>
      <c r="G14" s="7" t="s">
        <v>23</v>
      </c>
      <c r="H14" s="7" t="s">
        <v>24</v>
      </c>
      <c r="I14" s="7" t="s">
        <v>25</v>
      </c>
      <c r="J14" s="7" t="s">
        <v>26</v>
      </c>
      <c r="K14" s="7" t="s">
        <v>27</v>
      </c>
      <c r="L14" s="7" t="s">
        <v>28</v>
      </c>
      <c r="M14" s="7" t="s">
        <v>29</v>
      </c>
      <c r="N14" s="7" t="s">
        <v>30</v>
      </c>
      <c r="O14" s="7" t="s">
        <v>31</v>
      </c>
      <c r="P14" s="7" t="s">
        <v>32</v>
      </c>
      <c r="Q14" s="7" t="s">
        <v>33</v>
      </c>
      <c r="R14" s="7" t="s">
        <v>34</v>
      </c>
      <c r="S14" s="7" t="s">
        <v>35</v>
      </c>
      <c r="T14" s="7" t="s">
        <v>36</v>
      </c>
      <c r="U14" s="7" t="s">
        <v>37</v>
      </c>
      <c r="V14" s="7" t="s">
        <v>38</v>
      </c>
      <c r="W14" s="7" t="s">
        <v>39</v>
      </c>
    </row>
    <row r="15" spans="1:31" s="5" customFormat="1" ht="15">
      <c r="A15" s="6" t="s">
        <v>16</v>
      </c>
      <c r="B15" s="10">
        <f>SUM(AC6:AE6)/3</f>
        <v>117805.68453664798</v>
      </c>
      <c r="C15" s="10"/>
      <c r="D15" s="10">
        <f>+B15*(1+Summary!$B$15)</f>
        <v>121634.36928408904</v>
      </c>
      <c r="E15" s="10">
        <f>+D15*(1+Summary!$B$15)</f>
        <v>125587.48628582193</v>
      </c>
      <c r="F15" s="10">
        <f>+E15*(1+Summary!$B$15)</f>
        <v>129669.07959011114</v>
      </c>
      <c r="G15" s="10">
        <f>+F15*(1+Summary!$B$15)</f>
        <v>133883.32467678975</v>
      </c>
      <c r="H15" s="10">
        <f>+G15*(1+Summary!$B$15)</f>
        <v>138234.53272878542</v>
      </c>
      <c r="I15" s="10">
        <f>+H15*(1+Summary!$B$15)</f>
        <v>142727.15504247093</v>
      </c>
      <c r="J15" s="10">
        <f>+I15*(1+Summary!$B$15)</f>
        <v>147365.78758135124</v>
      </c>
      <c r="K15" s="10">
        <f>+J15*(1+Summary!$B$15)</f>
        <v>152155.17567774514</v>
      </c>
      <c r="L15" s="10">
        <f>+K15*(1+Summary!$B$15)</f>
        <v>157100.21888727185</v>
      </c>
      <c r="M15" s="10">
        <f>+L15*(1+Summary!$B$15)</f>
        <v>162205.97600110818</v>
      </c>
      <c r="N15" s="10">
        <f>+M15*(1+Summary!$B$15)</f>
        <v>167477.6702211442</v>
      </c>
      <c r="O15" s="10">
        <f>+N15*(1+Summary!$B$15)</f>
        <v>172920.69450333138</v>
      </c>
      <c r="P15" s="10">
        <f>+O15*(1+Summary!$B$15)</f>
        <v>178540.61707468965</v>
      </c>
      <c r="Q15" s="10">
        <f>+P15*(1+Summary!$B$15)</f>
        <v>184343.18712961706</v>
      </c>
      <c r="R15" s="10">
        <f>+Q15*(1+Summary!$B$15)</f>
        <v>190334.3407113296</v>
      </c>
      <c r="S15" s="10">
        <f>+R15*(1+Summary!$B$15)</f>
        <v>196520.2067844478</v>
      </c>
      <c r="T15" s="10">
        <f>+S15*(1+Summary!$B$15)</f>
        <v>202907.11350494236</v>
      </c>
      <c r="U15" s="10">
        <f>+T15*(1+Summary!$B$15)</f>
        <v>209501.594693853</v>
      </c>
      <c r="V15" s="10">
        <f>+U15*(1+Summary!$B$15)</f>
        <v>216310.39652140322</v>
      </c>
      <c r="W15" s="10">
        <f>+V15*(1+Summary!$B$15)</f>
        <v>223340.48440834883</v>
      </c>
      <c r="X15" s="10"/>
      <c r="Y15" s="10"/>
      <c r="Z15" s="10" t="s">
        <v>71</v>
      </c>
      <c r="AA15" s="10"/>
      <c r="AB15" s="5" t="s">
        <v>74</v>
      </c>
      <c r="AC15" s="10" t="s">
        <v>42</v>
      </c>
      <c r="AD15" s="10" t="s">
        <v>44</v>
      </c>
      <c r="AE15" s="10" t="s">
        <v>73</v>
      </c>
    </row>
    <row r="16" spans="1:31" s="5" customFormat="1" ht="15">
      <c r="A16" s="6" t="s">
        <v>17</v>
      </c>
      <c r="B16" s="10">
        <f>+Summary!B18*Summary!B6*Data!B15</f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 t="s">
        <v>72</v>
      </c>
      <c r="AC16" s="10"/>
      <c r="AD16" s="10"/>
      <c r="AE16" s="10"/>
    </row>
    <row r="17" spans="1:32" ht="15">
      <c r="A17" s="6"/>
      <c r="Z17" s="37">
        <f>+Summary!B19</f>
        <v>65</v>
      </c>
      <c r="AA17" s="7" t="s">
        <v>20</v>
      </c>
      <c r="AB17" s="10">
        <f>+AE10</f>
        <v>738880.0504531232</v>
      </c>
      <c r="AC17" s="10">
        <f>-Comparison!L7</f>
        <v>-110148.31504176588</v>
      </c>
      <c r="AD17" s="7">
        <f>+AB17*Summary!$B$13</f>
        <v>59110.404036249856</v>
      </c>
      <c r="AE17" s="7">
        <f>SUM(AB17:AD17)</f>
        <v>687842.1394476071</v>
      </c>
      <c r="AF17" t="s">
        <v>75</v>
      </c>
    </row>
    <row r="18" spans="1:32" ht="15">
      <c r="A18" s="6"/>
      <c r="B18" s="17" t="s">
        <v>15</v>
      </c>
      <c r="C18" s="17" t="s">
        <v>42</v>
      </c>
      <c r="D18" s="17" t="s">
        <v>51</v>
      </c>
      <c r="E18" s="17" t="s">
        <v>50</v>
      </c>
      <c r="G18"/>
      <c r="H18" s="24" t="s">
        <v>46</v>
      </c>
      <c r="I18" s="24" t="s">
        <v>50</v>
      </c>
      <c r="J18" s="24" t="s">
        <v>44</v>
      </c>
      <c r="K18" s="24" t="s">
        <v>49</v>
      </c>
      <c r="L18" s="24" t="s">
        <v>48</v>
      </c>
      <c r="N18" s="24" t="s">
        <v>47</v>
      </c>
      <c r="Z18" s="37">
        <f>+Z17+1</f>
        <v>66</v>
      </c>
      <c r="AA18" s="7" t="s">
        <v>21</v>
      </c>
      <c r="AB18" s="7">
        <f>+AE17</f>
        <v>687842.1394476071</v>
      </c>
      <c r="AC18" s="10">
        <f aca="true" t="shared" si="3" ref="AC18:AC36">+AC17</f>
        <v>-110148.31504176588</v>
      </c>
      <c r="AD18" s="7">
        <f>+AB18*Summary!$B$13</f>
        <v>55027.37115580857</v>
      </c>
      <c r="AE18" s="7">
        <f aca="true" t="shared" si="4" ref="AE18:AE36">SUM(AB18:AD18)</f>
        <v>632721.1955616497</v>
      </c>
      <c r="AF18" s="48">
        <f>PMT(Summary!B13,18,AE18,0)</f>
        <v>-67512.67768984273</v>
      </c>
    </row>
    <row r="19" spans="2:32" ht="15">
      <c r="B19" s="16">
        <v>1</v>
      </c>
      <c r="C19" s="7">
        <f>+B16</f>
        <v>0</v>
      </c>
      <c r="D19" s="8">
        <f aca="true" t="shared" si="5" ref="D19:D48">IF(C19&gt;0,0,E19)</f>
        <v>0</v>
      </c>
      <c r="E19" s="7">
        <f>+B16</f>
        <v>0</v>
      </c>
      <c r="F19" s="8"/>
      <c r="G19" s="11">
        <v>1</v>
      </c>
      <c r="H19" s="35">
        <f>+AE10</f>
        <v>738880.0504531232</v>
      </c>
      <c r="I19" s="35">
        <f>IF(H19&gt;0,PMT(Summary!$B$13,Summary!$B$14,$AE$10,1),0)</f>
        <v>-75256.58704622036</v>
      </c>
      <c r="J19" s="35">
        <f>+H19*Summary!$B$13</f>
        <v>59110.404036249856</v>
      </c>
      <c r="K19" s="23">
        <f>IF(Summary!$B$23-Data!G19&lt;&gt;0,0,(Data!L18+I19+J19))</f>
        <v>0</v>
      </c>
      <c r="L19" s="23">
        <f aca="true" t="shared" si="6" ref="L19:L38">SUM(H19:J19)-K19</f>
        <v>722733.8674431527</v>
      </c>
      <c r="N19" s="23">
        <f aca="true" t="shared" si="7" ref="N19:N48">-I19+K19</f>
        <v>75256.58704622036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37">
        <f aca="true" t="shared" si="8" ref="Z19:Z36">+Z18+1</f>
        <v>67</v>
      </c>
      <c r="AA19" s="7" t="s">
        <v>22</v>
      </c>
      <c r="AB19" s="7">
        <f aca="true" t="shared" si="9" ref="AB19:AB36">+AE18</f>
        <v>632721.1955616497</v>
      </c>
      <c r="AC19" s="10">
        <f>+AF18</f>
        <v>-67512.67768984273</v>
      </c>
      <c r="AD19" s="7">
        <f>+AB19*Summary!$B$13</f>
        <v>50617.695644931984</v>
      </c>
      <c r="AE19" s="7">
        <f t="shared" si="4"/>
        <v>615826.213516739</v>
      </c>
      <c r="AF19" s="48"/>
    </row>
    <row r="20" spans="2:31" ht="15">
      <c r="B20" s="16">
        <v>2</v>
      </c>
      <c r="C20" s="7">
        <f>IF(B20&lt;=Summary!$B$23,Data!C19*(1+Summary!$B$7),)</f>
        <v>0</v>
      </c>
      <c r="D20" s="8">
        <f t="shared" si="5"/>
        <v>0</v>
      </c>
      <c r="E20" s="7">
        <f>+E19*(1+Summary!$B$7)</f>
        <v>0</v>
      </c>
      <c r="G20" s="11">
        <v>2</v>
      </c>
      <c r="H20" s="35">
        <f>IF(L19&gt;=0,+L19,"")</f>
        <v>722733.8674431527</v>
      </c>
      <c r="I20" s="35">
        <f>IF(H20&gt;0,PMT(Summary!$B$13,Summary!$B$14,$AE$10,1),0)</f>
        <v>-75256.58704622036</v>
      </c>
      <c r="J20" s="35">
        <f>+H20*Summary!$B$13</f>
        <v>57818.70939545222</v>
      </c>
      <c r="K20" s="23">
        <f>IF(Summary!$B$23-Data!G20&lt;&gt;0,0,(Data!L19+I20+J20))</f>
        <v>0</v>
      </c>
      <c r="L20" s="23">
        <f t="shared" si="6"/>
        <v>705295.9897923846</v>
      </c>
      <c r="N20" s="23">
        <f t="shared" si="7"/>
        <v>75256.58704622036</v>
      </c>
      <c r="Z20" s="37">
        <f t="shared" si="8"/>
        <v>68</v>
      </c>
      <c r="AA20" s="7" t="s">
        <v>23</v>
      </c>
      <c r="AB20" s="7">
        <f t="shared" si="9"/>
        <v>615826.213516739</v>
      </c>
      <c r="AC20" s="10">
        <f t="shared" si="3"/>
        <v>-67512.67768984273</v>
      </c>
      <c r="AD20" s="7">
        <f>+AB20*Summary!$B$13</f>
        <v>49266.09708133912</v>
      </c>
      <c r="AE20" s="7">
        <f t="shared" si="4"/>
        <v>597579.6329082353</v>
      </c>
    </row>
    <row r="21" spans="2:32" ht="15">
      <c r="B21" s="16">
        <v>3</v>
      </c>
      <c r="C21" s="7">
        <f>IF(B21&lt;=Summary!$B$23,Data!C20*(1+Summary!$B$7),)</f>
        <v>0</v>
      </c>
      <c r="D21" s="8">
        <f t="shared" si="5"/>
        <v>0</v>
      </c>
      <c r="E21" s="7">
        <f>+E20*(1+Summary!$B$7)</f>
        <v>0</v>
      </c>
      <c r="G21" s="11">
        <v>3</v>
      </c>
      <c r="H21" s="35">
        <f aca="true" t="shared" si="10" ref="H21:H48">IF(L20&gt;=0,+L20,"")</f>
        <v>705295.9897923846</v>
      </c>
      <c r="I21" s="35">
        <f>IF(H21&gt;0,PMT(Summary!$B$13,Summary!$B$14,$AE$10,1),0)</f>
        <v>-75256.58704622036</v>
      </c>
      <c r="J21" s="35">
        <f>+H21*Summary!$B$13</f>
        <v>56423.67918339076</v>
      </c>
      <c r="K21" s="23">
        <f>IF(Summary!$B$23-Data!G21&lt;&gt;0,0,(Data!L20+I21+J21))</f>
        <v>0</v>
      </c>
      <c r="L21" s="23">
        <f t="shared" si="6"/>
        <v>686463.081929555</v>
      </c>
      <c r="N21" s="23">
        <f t="shared" si="7"/>
        <v>75256.58704622036</v>
      </c>
      <c r="Z21" s="37">
        <f t="shared" si="8"/>
        <v>69</v>
      </c>
      <c r="AA21" s="7" t="s">
        <v>24</v>
      </c>
      <c r="AB21" s="7">
        <f t="shared" si="9"/>
        <v>597579.6329082353</v>
      </c>
      <c r="AC21" s="10">
        <f t="shared" si="3"/>
        <v>-67512.67768984273</v>
      </c>
      <c r="AD21" s="7">
        <f>+AB21*Summary!$B$13</f>
        <v>47806.37063265882</v>
      </c>
      <c r="AE21" s="7">
        <f t="shared" si="4"/>
        <v>577873.3258510514</v>
      </c>
      <c r="AF21" s="48"/>
    </row>
    <row r="22" spans="2:32" ht="15">
      <c r="B22" s="16">
        <v>4</v>
      </c>
      <c r="C22" s="7">
        <f>IF(B22&lt;=Summary!$B$23,Data!C21*(1+Summary!$B$7),)</f>
        <v>0</v>
      </c>
      <c r="D22" s="8">
        <f t="shared" si="5"/>
        <v>0</v>
      </c>
      <c r="E22" s="7">
        <f>+E21*(1+Summary!$B$7)</f>
        <v>0</v>
      </c>
      <c r="G22" s="11">
        <v>4</v>
      </c>
      <c r="H22" s="35">
        <f t="shared" si="10"/>
        <v>686463.081929555</v>
      </c>
      <c r="I22" s="35">
        <f>IF(H22&gt;0,PMT(Summary!$B$13,Summary!$B$14,$AE$10,1),0)</f>
        <v>-75256.58704622036</v>
      </c>
      <c r="J22" s="35">
        <f>+H22*Summary!$B$13</f>
        <v>54917.0465543644</v>
      </c>
      <c r="K22" s="23">
        <f>IF(Summary!$B$23-Data!G22&lt;&gt;0,0,(Data!L21+I22+J22))</f>
        <v>0</v>
      </c>
      <c r="L22" s="23">
        <f t="shared" si="6"/>
        <v>666123.5414376991</v>
      </c>
      <c r="N22" s="23">
        <f t="shared" si="7"/>
        <v>75256.58704622036</v>
      </c>
      <c r="Z22" s="37">
        <f t="shared" si="8"/>
        <v>70</v>
      </c>
      <c r="AA22" s="7" t="s">
        <v>25</v>
      </c>
      <c r="AB22" s="7">
        <f t="shared" si="9"/>
        <v>577873.3258510514</v>
      </c>
      <c r="AC22" s="10">
        <f t="shared" si="3"/>
        <v>-67512.67768984273</v>
      </c>
      <c r="AD22" s="7">
        <f>+AB22*Summary!$B$13</f>
        <v>46229.86606808411</v>
      </c>
      <c r="AE22" s="7">
        <f t="shared" si="4"/>
        <v>556590.5142292927</v>
      </c>
      <c r="AF22" s="48"/>
    </row>
    <row r="23" spans="2:31" ht="15">
      <c r="B23" s="16">
        <v>5</v>
      </c>
      <c r="C23" s="7">
        <f>IF(B23&lt;=Summary!$B$23,Data!C22*(1+Summary!$B$7),)</f>
        <v>0</v>
      </c>
      <c r="D23" s="8">
        <f t="shared" si="5"/>
        <v>0</v>
      </c>
      <c r="E23" s="7">
        <f>+E22*(1+Summary!$B$7)</f>
        <v>0</v>
      </c>
      <c r="G23" s="11">
        <v>5</v>
      </c>
      <c r="H23" s="35">
        <f t="shared" si="10"/>
        <v>666123.5414376991</v>
      </c>
      <c r="I23" s="35">
        <f>IF(H23&gt;0,PMT(Summary!$B$13,Summary!$B$14,$AE$10,1),0)</f>
        <v>-75256.58704622036</v>
      </c>
      <c r="J23" s="35">
        <f>+H23*Summary!$B$13</f>
        <v>53289.88331501593</v>
      </c>
      <c r="K23" s="23">
        <f>IF(Summary!$B$23-Data!G23&lt;&gt;0,0,(Data!L22+I23+J23))</f>
        <v>0</v>
      </c>
      <c r="L23" s="23">
        <f t="shared" si="6"/>
        <v>644156.8377064947</v>
      </c>
      <c r="N23" s="23">
        <f t="shared" si="7"/>
        <v>75256.58704622036</v>
      </c>
      <c r="Z23" s="37">
        <f t="shared" si="8"/>
        <v>71</v>
      </c>
      <c r="AA23" s="7" t="s">
        <v>26</v>
      </c>
      <c r="AB23" s="7">
        <f t="shared" si="9"/>
        <v>556590.5142292927</v>
      </c>
      <c r="AC23" s="10">
        <f t="shared" si="3"/>
        <v>-67512.67768984273</v>
      </c>
      <c r="AD23" s="7">
        <f>+AB23*Summary!$B$13</f>
        <v>44527.24113834342</v>
      </c>
      <c r="AE23" s="7">
        <f t="shared" si="4"/>
        <v>533605.0776777935</v>
      </c>
    </row>
    <row r="24" spans="2:32" ht="15">
      <c r="B24" s="16">
        <v>6</v>
      </c>
      <c r="C24" s="7">
        <f>IF(B24&lt;=Summary!$B$23,Data!C23*(1+Summary!$B$7),)</f>
        <v>0</v>
      </c>
      <c r="D24" s="8">
        <f t="shared" si="5"/>
        <v>0</v>
      </c>
      <c r="E24" s="7">
        <f>+E23*(1+Summary!$B$7)</f>
        <v>0</v>
      </c>
      <c r="G24" s="11">
        <v>6</v>
      </c>
      <c r="H24" s="35">
        <f t="shared" si="10"/>
        <v>644156.8377064947</v>
      </c>
      <c r="I24" s="35">
        <f>IF(H24&gt;0,PMT(Summary!$B$13,Summary!$B$14,$AE$10,1),0)</f>
        <v>-75256.58704622036</v>
      </c>
      <c r="J24" s="35">
        <f>+H24*Summary!$B$13</f>
        <v>51532.54701651958</v>
      </c>
      <c r="K24" s="23">
        <f>IF(Summary!$B$23-Data!G24&lt;&gt;0,0,(Data!L23+I24+J24))</f>
        <v>0</v>
      </c>
      <c r="L24" s="23">
        <f t="shared" si="6"/>
        <v>620432.797676794</v>
      </c>
      <c r="N24" s="23">
        <f t="shared" si="7"/>
        <v>75256.58704622036</v>
      </c>
      <c r="Z24" s="37">
        <f t="shared" si="8"/>
        <v>72</v>
      </c>
      <c r="AA24" s="7" t="s">
        <v>27</v>
      </c>
      <c r="AB24" s="7">
        <f t="shared" si="9"/>
        <v>533605.0776777935</v>
      </c>
      <c r="AC24" s="10">
        <f t="shared" si="3"/>
        <v>-67512.67768984273</v>
      </c>
      <c r="AD24" s="7">
        <f>+AB24*Summary!$B$13</f>
        <v>42688.406214223476</v>
      </c>
      <c r="AE24" s="7">
        <f t="shared" si="4"/>
        <v>508780.80620217416</v>
      </c>
      <c r="AF24" s="48"/>
    </row>
    <row r="25" spans="2:31" ht="15">
      <c r="B25" s="16">
        <v>7</v>
      </c>
      <c r="C25" s="7">
        <f>IF(B25&lt;=Summary!$B$23,Data!C24*(1+Summary!$B$7),)</f>
        <v>0</v>
      </c>
      <c r="D25" s="8">
        <f t="shared" si="5"/>
        <v>0</v>
      </c>
      <c r="E25" s="7">
        <f>+E24*(1+Summary!$B$7)</f>
        <v>0</v>
      </c>
      <c r="G25" s="11">
        <v>7</v>
      </c>
      <c r="H25" s="35">
        <f t="shared" si="10"/>
        <v>620432.797676794</v>
      </c>
      <c r="I25" s="35">
        <f>IF(H25&gt;0,PMT(Summary!$B$13,Summary!$B$14,$AE$10,1),0)</f>
        <v>-75256.58704622036</v>
      </c>
      <c r="J25" s="35">
        <f>+H25*Summary!$B$13</f>
        <v>49634.623814143524</v>
      </c>
      <c r="K25" s="23">
        <f>IF(Summary!$B$23-Data!G25&lt;&gt;0,0,(Data!L24+I25+J25))</f>
        <v>0</v>
      </c>
      <c r="L25" s="23">
        <f t="shared" si="6"/>
        <v>594810.8344447172</v>
      </c>
      <c r="N25" s="23">
        <f t="shared" si="7"/>
        <v>75256.58704622036</v>
      </c>
      <c r="Z25" s="37">
        <f t="shared" si="8"/>
        <v>73</v>
      </c>
      <c r="AA25" s="7" t="s">
        <v>28</v>
      </c>
      <c r="AB25" s="7">
        <f t="shared" si="9"/>
        <v>508780.80620217416</v>
      </c>
      <c r="AC25" s="10">
        <f t="shared" si="3"/>
        <v>-67512.67768984273</v>
      </c>
      <c r="AD25" s="7">
        <f>+AB25*Summary!$B$13</f>
        <v>40702.46449617393</v>
      </c>
      <c r="AE25" s="7">
        <f t="shared" si="4"/>
        <v>481970.59300850536</v>
      </c>
    </row>
    <row r="26" spans="2:32" ht="15">
      <c r="B26" s="16">
        <v>8</v>
      </c>
      <c r="C26" s="7">
        <f>IF(B26&lt;=Summary!$B$23,Data!C25*(1+Summary!$B$7),)</f>
        <v>0</v>
      </c>
      <c r="D26" s="8">
        <f t="shared" si="5"/>
        <v>0</v>
      </c>
      <c r="E26" s="7">
        <f>+E25*(1+Summary!$B$7)</f>
        <v>0</v>
      </c>
      <c r="G26" s="11">
        <v>8</v>
      </c>
      <c r="H26" s="35">
        <f t="shared" si="10"/>
        <v>594810.8344447172</v>
      </c>
      <c r="I26" s="35">
        <f>IF(H26&gt;0,PMT(Summary!$B$13,Summary!$B$14,$AE$10,1),0)</f>
        <v>-75256.58704622036</v>
      </c>
      <c r="J26" s="35">
        <f>+H26*Summary!$B$13</f>
        <v>47584.86675557737</v>
      </c>
      <c r="K26" s="23">
        <f>IF(Summary!$B$23-Data!G26&lt;&gt;0,0,(Data!L25+I26+J26))</f>
        <v>0</v>
      </c>
      <c r="L26" s="23">
        <f t="shared" si="6"/>
        <v>567139.1141540741</v>
      </c>
      <c r="N26" s="23">
        <f t="shared" si="7"/>
        <v>75256.58704622036</v>
      </c>
      <c r="Z26" s="37">
        <f t="shared" si="8"/>
        <v>74</v>
      </c>
      <c r="AA26" s="7" t="s">
        <v>29</v>
      </c>
      <c r="AB26" s="7">
        <f t="shared" si="9"/>
        <v>481970.59300850536</v>
      </c>
      <c r="AC26" s="10">
        <f t="shared" si="3"/>
        <v>-67512.67768984273</v>
      </c>
      <c r="AD26" s="7">
        <f>+AB26*Summary!$B$13</f>
        <v>38557.64744068043</v>
      </c>
      <c r="AE26" s="7">
        <f t="shared" si="4"/>
        <v>453015.56275934307</v>
      </c>
      <c r="AF26" s="48"/>
    </row>
    <row r="27" spans="2:31" ht="15">
      <c r="B27" s="16">
        <v>9</v>
      </c>
      <c r="C27" s="7">
        <f>IF(B27&lt;=Summary!$B$23,Data!C26*(1+Summary!$B$7),)</f>
        <v>0</v>
      </c>
      <c r="D27" s="8">
        <f t="shared" si="5"/>
        <v>0</v>
      </c>
      <c r="E27" s="7">
        <f>+E26*(1+Summary!$B$7)</f>
        <v>0</v>
      </c>
      <c r="G27" s="11">
        <v>9</v>
      </c>
      <c r="H27" s="35">
        <f t="shared" si="10"/>
        <v>567139.1141540741</v>
      </c>
      <c r="I27" s="35">
        <f>IF(H27&gt;0,PMT(Summary!$B$13,Summary!$B$14,$AE$10,1),0)</f>
        <v>-75256.58704622036</v>
      </c>
      <c r="J27" s="35">
        <f>+H27*Summary!$B$13</f>
        <v>45371.12913232593</v>
      </c>
      <c r="K27" s="23">
        <f>IF(Summary!$B$23-Data!G27&lt;&gt;0,0,(Data!L26+I27+J27))</f>
        <v>0</v>
      </c>
      <c r="L27" s="23">
        <f t="shared" si="6"/>
        <v>537253.6562401797</v>
      </c>
      <c r="N27" s="23">
        <f t="shared" si="7"/>
        <v>75256.58704622036</v>
      </c>
      <c r="Z27" s="37">
        <f t="shared" si="8"/>
        <v>75</v>
      </c>
      <c r="AA27" s="7" t="s">
        <v>30</v>
      </c>
      <c r="AB27" s="7">
        <f t="shared" si="9"/>
        <v>453015.56275934307</v>
      </c>
      <c r="AC27" s="10">
        <f t="shared" si="3"/>
        <v>-67512.67768984273</v>
      </c>
      <c r="AD27" s="7">
        <f>+AB27*Summary!$B$13</f>
        <v>36241.24502074745</v>
      </c>
      <c r="AE27" s="7">
        <f t="shared" si="4"/>
        <v>421744.1300902477</v>
      </c>
    </row>
    <row r="28" spans="2:31" ht="15">
      <c r="B28" s="16">
        <v>10</v>
      </c>
      <c r="C28" s="7">
        <f>IF(B28&lt;=Summary!$B$23,Data!C27*(1+Summary!$B$7),)</f>
        <v>0</v>
      </c>
      <c r="D28" s="8">
        <f t="shared" si="5"/>
        <v>0</v>
      </c>
      <c r="E28" s="7">
        <f>+E27*(1+Summary!$B$7)</f>
        <v>0</v>
      </c>
      <c r="G28" s="11">
        <v>10</v>
      </c>
      <c r="H28" s="35">
        <f t="shared" si="10"/>
        <v>537253.6562401797</v>
      </c>
      <c r="I28" s="35">
        <f>IF(H28&gt;0,PMT(Summary!$B$13,Summary!$B$14,$AE$10,1),0)</f>
        <v>-75256.58704622036</v>
      </c>
      <c r="J28" s="35">
        <f>+H28*Summary!$B$13</f>
        <v>42980.292499214374</v>
      </c>
      <c r="K28" s="23">
        <f>IF(Summary!$B$23-Data!G28&lt;&gt;0,0,(Data!L27+I28+J28))</f>
        <v>0</v>
      </c>
      <c r="L28" s="23">
        <f t="shared" si="6"/>
        <v>504977.36169317365</v>
      </c>
      <c r="N28" s="23">
        <f t="shared" si="7"/>
        <v>75256.58704622036</v>
      </c>
      <c r="Z28" s="37">
        <f t="shared" si="8"/>
        <v>76</v>
      </c>
      <c r="AA28" s="7" t="s">
        <v>31</v>
      </c>
      <c r="AB28" s="7">
        <f t="shared" si="9"/>
        <v>421744.1300902477</v>
      </c>
      <c r="AC28" s="10">
        <f t="shared" si="3"/>
        <v>-67512.67768984273</v>
      </c>
      <c r="AD28" s="7">
        <f>+AB28*Summary!$B$13</f>
        <v>33739.53040721982</v>
      </c>
      <c r="AE28" s="7">
        <f t="shared" si="4"/>
        <v>387970.9828076248</v>
      </c>
    </row>
    <row r="29" spans="2:31" ht="15">
      <c r="B29" s="16">
        <v>11</v>
      </c>
      <c r="C29" s="7">
        <f>IF(B29&lt;=Summary!$B$23,Data!C28*(1+Summary!$B$7),)</f>
        <v>0</v>
      </c>
      <c r="D29" s="8">
        <f t="shared" si="5"/>
        <v>0</v>
      </c>
      <c r="E29" s="7">
        <f>+E28*(1+Summary!$B$7)</f>
        <v>0</v>
      </c>
      <c r="G29" s="11">
        <v>11</v>
      </c>
      <c r="H29" s="35">
        <f t="shared" si="10"/>
        <v>504977.36169317365</v>
      </c>
      <c r="I29" s="35">
        <f>IF(H29&gt;0,PMT(Summary!$B$13,Summary!$B$14,$AE$10,1),0)</f>
        <v>-75256.58704622036</v>
      </c>
      <c r="J29" s="35">
        <f>+H29*Summary!$B$13</f>
        <v>40398.188935453894</v>
      </c>
      <c r="K29" s="23">
        <f>IF(Summary!$B$23-Data!G29&lt;&gt;0,0,(Data!L28+I29+J29))</f>
        <v>0</v>
      </c>
      <c r="L29" s="23">
        <f t="shared" si="6"/>
        <v>470118.96358240716</v>
      </c>
      <c r="N29" s="23">
        <f t="shared" si="7"/>
        <v>75256.58704622036</v>
      </c>
      <c r="Z29" s="37">
        <f t="shared" si="8"/>
        <v>77</v>
      </c>
      <c r="AA29" s="7" t="s">
        <v>32</v>
      </c>
      <c r="AB29" s="7">
        <f t="shared" si="9"/>
        <v>387970.9828076248</v>
      </c>
      <c r="AC29" s="10">
        <f t="shared" si="3"/>
        <v>-67512.67768984273</v>
      </c>
      <c r="AD29" s="7">
        <f>+AB29*Summary!$B$13</f>
        <v>31037.678624609984</v>
      </c>
      <c r="AE29" s="7">
        <f t="shared" si="4"/>
        <v>351495.9837423921</v>
      </c>
    </row>
    <row r="30" spans="2:31" ht="15">
      <c r="B30" s="16">
        <v>12</v>
      </c>
      <c r="C30" s="7">
        <f>IF(B30&lt;=Summary!$B$23,Data!C29*(1+Summary!$B$7),)</f>
        <v>0</v>
      </c>
      <c r="D30" s="8">
        <f t="shared" si="5"/>
        <v>0</v>
      </c>
      <c r="E30" s="7">
        <f>+E29*(1+Summary!$B$7)</f>
        <v>0</v>
      </c>
      <c r="G30" s="11">
        <v>12</v>
      </c>
      <c r="H30" s="35">
        <f t="shared" si="10"/>
        <v>470118.96358240716</v>
      </c>
      <c r="I30" s="35">
        <f>IF(H30&gt;0,PMT(Summary!$B$13,Summary!$B$14,$AE$10,1),0)</f>
        <v>-75256.58704622036</v>
      </c>
      <c r="J30" s="35">
        <f>+H30*Summary!$B$13</f>
        <v>37609.517086592576</v>
      </c>
      <c r="K30" s="23">
        <f>IF(Summary!$B$23-Data!G30&lt;&gt;0,0,(Data!L29+I30+J30))</f>
        <v>0</v>
      </c>
      <c r="L30" s="23">
        <f t="shared" si="6"/>
        <v>432471.89362277935</v>
      </c>
      <c r="N30" s="23">
        <f t="shared" si="7"/>
        <v>75256.58704622036</v>
      </c>
      <c r="Z30" s="37">
        <f t="shared" si="8"/>
        <v>78</v>
      </c>
      <c r="AA30" s="7" t="s">
        <v>33</v>
      </c>
      <c r="AB30" s="7">
        <f t="shared" si="9"/>
        <v>351495.9837423921</v>
      </c>
      <c r="AC30" s="10">
        <f t="shared" si="3"/>
        <v>-67512.67768984273</v>
      </c>
      <c r="AD30" s="7">
        <f>+AB30*Summary!$B$13</f>
        <v>28119.67869939137</v>
      </c>
      <c r="AE30" s="7">
        <f t="shared" si="4"/>
        <v>312102.98475194076</v>
      </c>
    </row>
    <row r="31" spans="2:31" ht="15">
      <c r="B31" s="16">
        <v>13</v>
      </c>
      <c r="C31" s="7">
        <f>IF(B31&lt;=Summary!$B$23,Data!C30*(1+Summary!$B$7),)</f>
        <v>0</v>
      </c>
      <c r="D31" s="8">
        <f t="shared" si="5"/>
        <v>0</v>
      </c>
      <c r="E31" s="7">
        <f>+E30*(1+Summary!$B$7)</f>
        <v>0</v>
      </c>
      <c r="G31" s="11">
        <v>13</v>
      </c>
      <c r="H31" s="35">
        <f t="shared" si="10"/>
        <v>432471.89362277935</v>
      </c>
      <c r="I31" s="35">
        <f>IF(H31&gt;0,PMT(Summary!$B$13,Summary!$B$14,$AE$10,1),0)</f>
        <v>-75256.58704622036</v>
      </c>
      <c r="J31" s="35">
        <f>+H31*Summary!$B$13</f>
        <v>34597.751489822345</v>
      </c>
      <c r="K31" s="23">
        <f>IF(Summary!$B$23-Data!G31&lt;&gt;0,0,(Data!L30+I31+J31))</f>
        <v>0</v>
      </c>
      <c r="L31" s="23">
        <f t="shared" si="6"/>
        <v>391813.0580663813</v>
      </c>
      <c r="N31" s="23">
        <f t="shared" si="7"/>
        <v>75256.58704622036</v>
      </c>
      <c r="Z31" s="37">
        <f t="shared" si="8"/>
        <v>79</v>
      </c>
      <c r="AA31" s="7" t="s">
        <v>34</v>
      </c>
      <c r="AB31" s="7">
        <f t="shared" si="9"/>
        <v>312102.98475194076</v>
      </c>
      <c r="AC31" s="10">
        <f t="shared" si="3"/>
        <v>-67512.67768984273</v>
      </c>
      <c r="AD31" s="7">
        <f>+AB31*Summary!$B$13</f>
        <v>24968.23878015526</v>
      </c>
      <c r="AE31" s="7">
        <f t="shared" si="4"/>
        <v>269558.5458422533</v>
      </c>
    </row>
    <row r="32" spans="2:31" ht="15">
      <c r="B32" s="16">
        <v>14</v>
      </c>
      <c r="C32" s="7">
        <f>IF(B32&lt;=Summary!$B$23,Data!C31*(1+Summary!$B$7),)</f>
        <v>0</v>
      </c>
      <c r="D32" s="8">
        <f t="shared" si="5"/>
        <v>0</v>
      </c>
      <c r="E32" s="7">
        <f>+E31*(1+Summary!$B$7)</f>
        <v>0</v>
      </c>
      <c r="G32" s="11">
        <v>14</v>
      </c>
      <c r="H32" s="35">
        <f t="shared" si="10"/>
        <v>391813.0580663813</v>
      </c>
      <c r="I32" s="35">
        <f>IF(H32&gt;0,PMT(Summary!$B$13,Summary!$B$14,$AE$10,1),0)</f>
        <v>-75256.58704622036</v>
      </c>
      <c r="J32" s="35">
        <f>+H32*Summary!$B$13</f>
        <v>31345.044645310507</v>
      </c>
      <c r="K32" s="23">
        <f>IF(Summary!$B$23-Data!G32&lt;&gt;0,0,(Data!L31+I32+J32))</f>
        <v>0</v>
      </c>
      <c r="L32" s="23">
        <f t="shared" si="6"/>
        <v>347901.51566547144</v>
      </c>
      <c r="N32" s="23">
        <f t="shared" si="7"/>
        <v>75256.58704622036</v>
      </c>
      <c r="Z32" s="37">
        <f t="shared" si="8"/>
        <v>80</v>
      </c>
      <c r="AA32" s="7" t="s">
        <v>35</v>
      </c>
      <c r="AB32" s="7">
        <f t="shared" si="9"/>
        <v>269558.5458422533</v>
      </c>
      <c r="AC32" s="10">
        <f t="shared" si="3"/>
        <v>-67512.67768984273</v>
      </c>
      <c r="AD32" s="7">
        <f>+AB32*Summary!$B$13</f>
        <v>21564.683667380265</v>
      </c>
      <c r="AE32" s="7">
        <f t="shared" si="4"/>
        <v>223610.55181979085</v>
      </c>
    </row>
    <row r="33" spans="2:31" ht="15">
      <c r="B33" s="16">
        <v>15</v>
      </c>
      <c r="C33" s="7">
        <f>IF(B33&lt;=Summary!$B$23,Data!C32*(1+Summary!$B$7),)</f>
        <v>0</v>
      </c>
      <c r="D33" s="8">
        <f t="shared" si="5"/>
        <v>0</v>
      </c>
      <c r="E33" s="7">
        <f>+E32*(1+Summary!$B$7)</f>
        <v>0</v>
      </c>
      <c r="G33" s="11">
        <v>15</v>
      </c>
      <c r="H33" s="35">
        <f t="shared" si="10"/>
        <v>347901.51566547144</v>
      </c>
      <c r="I33" s="35">
        <f>IF(H33&gt;0,PMT(Summary!$B$13,Summary!$B$14,$AE$10,1),0)</f>
        <v>-75256.58704622036</v>
      </c>
      <c r="J33" s="35">
        <f>+H33*Summary!$B$13</f>
        <v>27832.121253237714</v>
      </c>
      <c r="K33" s="23">
        <f>IF(Summary!$B$23-Data!G33&lt;&gt;0,0,(Data!L32+I33+J33))</f>
        <v>0</v>
      </c>
      <c r="L33" s="23">
        <f t="shared" si="6"/>
        <v>300477.0498724888</v>
      </c>
      <c r="N33" s="23">
        <f t="shared" si="7"/>
        <v>75256.58704622036</v>
      </c>
      <c r="Z33" s="37">
        <f t="shared" si="8"/>
        <v>81</v>
      </c>
      <c r="AA33" s="7" t="s">
        <v>36</v>
      </c>
      <c r="AB33" s="7">
        <f t="shared" si="9"/>
        <v>223610.55181979085</v>
      </c>
      <c r="AC33" s="10">
        <f t="shared" si="3"/>
        <v>-67512.67768984273</v>
      </c>
      <c r="AD33" s="7">
        <f>+AB33*Summary!$B$13</f>
        <v>17888.84414558327</v>
      </c>
      <c r="AE33" s="7">
        <f t="shared" si="4"/>
        <v>173986.7182755314</v>
      </c>
    </row>
    <row r="34" spans="2:31" ht="15">
      <c r="B34" s="16">
        <v>16</v>
      </c>
      <c r="C34" s="7">
        <f>IF(B34&lt;=Summary!$B$23,Data!C33*(1+Summary!$B$7),)</f>
        <v>0</v>
      </c>
      <c r="D34" s="8">
        <f t="shared" si="5"/>
        <v>0</v>
      </c>
      <c r="E34" s="7">
        <f>+E33*(1+Summary!$B$7)</f>
        <v>0</v>
      </c>
      <c r="G34" s="11">
        <v>16</v>
      </c>
      <c r="H34" s="35">
        <f t="shared" si="10"/>
        <v>300477.0498724888</v>
      </c>
      <c r="I34" s="35">
        <f>IF(H34&gt;0,PMT(Summary!$B$13,Summary!$B$14,$AE$10,1),0)</f>
        <v>-75256.58704622036</v>
      </c>
      <c r="J34" s="35">
        <f>+H34*Summary!$B$13</f>
        <v>24038.1639897991</v>
      </c>
      <c r="K34" s="23">
        <f>IF(Summary!$B$23-Data!G34&lt;&gt;0,0,(Data!L33+I34+J34))</f>
        <v>0</v>
      </c>
      <c r="L34" s="23">
        <f t="shared" si="6"/>
        <v>249258.6268160675</v>
      </c>
      <c r="N34" s="23">
        <f t="shared" si="7"/>
        <v>75256.58704622036</v>
      </c>
      <c r="Z34" s="37">
        <f t="shared" si="8"/>
        <v>82</v>
      </c>
      <c r="AA34" s="7" t="s">
        <v>37</v>
      </c>
      <c r="AB34" s="7">
        <f t="shared" si="9"/>
        <v>173986.7182755314</v>
      </c>
      <c r="AC34" s="10">
        <f t="shared" si="3"/>
        <v>-67512.67768984273</v>
      </c>
      <c r="AD34" s="7">
        <f>+AB34*Summary!$B$13</f>
        <v>13918.937462042511</v>
      </c>
      <c r="AE34" s="7">
        <f t="shared" si="4"/>
        <v>120392.97804773117</v>
      </c>
    </row>
    <row r="35" spans="2:31" ht="15">
      <c r="B35" s="16">
        <v>17</v>
      </c>
      <c r="C35" s="7">
        <f>IF(B35&lt;=Summary!$B$23,Data!C34*(1+Summary!$B$7),)</f>
        <v>0</v>
      </c>
      <c r="D35" s="8">
        <f t="shared" si="5"/>
        <v>0</v>
      </c>
      <c r="E35" s="7">
        <f>+E34*(1+Summary!$B$7)</f>
        <v>0</v>
      </c>
      <c r="G35" s="11">
        <v>17</v>
      </c>
      <c r="H35" s="35">
        <f t="shared" si="10"/>
        <v>249258.6268160675</v>
      </c>
      <c r="I35" s="35">
        <f>IF(H35&gt;0,PMT(Summary!$B$13,Summary!$B$14,$AE$10,1),0)</f>
        <v>-75256.58704622036</v>
      </c>
      <c r="J35" s="35">
        <f>+H35*Summary!$B$13</f>
        <v>19940.6901452854</v>
      </c>
      <c r="K35" s="23">
        <f>IF(Summary!$B$23-Data!G35&lt;&gt;0,0,(Data!L34+I35+J35))</f>
        <v>0</v>
      </c>
      <c r="L35" s="23">
        <f t="shared" si="6"/>
        <v>193942.7299151325</v>
      </c>
      <c r="N35" s="23">
        <f t="shared" si="7"/>
        <v>75256.58704622036</v>
      </c>
      <c r="Z35" s="37">
        <f t="shared" si="8"/>
        <v>83</v>
      </c>
      <c r="AA35" s="7" t="s">
        <v>38</v>
      </c>
      <c r="AB35" s="7">
        <f t="shared" si="9"/>
        <v>120392.97804773117</v>
      </c>
      <c r="AC35" s="10">
        <f t="shared" si="3"/>
        <v>-67512.67768984273</v>
      </c>
      <c r="AD35" s="7">
        <f>+AB35*Summary!$B$13</f>
        <v>9631.438243818495</v>
      </c>
      <c r="AE35" s="7">
        <f t="shared" si="4"/>
        <v>62511.73860170694</v>
      </c>
    </row>
    <row r="36" spans="2:31" ht="15">
      <c r="B36" s="16">
        <v>18</v>
      </c>
      <c r="C36" s="7">
        <f>IF(B36&lt;=Summary!$B$23,Data!C35*(1+Summary!$B$7),)</f>
        <v>0</v>
      </c>
      <c r="D36" s="8">
        <f t="shared" si="5"/>
        <v>0</v>
      </c>
      <c r="E36" s="7">
        <f>+E35*(1+Summary!$B$7)</f>
        <v>0</v>
      </c>
      <c r="G36" s="11">
        <v>18</v>
      </c>
      <c r="H36" s="35">
        <f t="shared" si="10"/>
        <v>193942.7299151325</v>
      </c>
      <c r="I36" s="35">
        <f>IF(H36&gt;0,PMT(Summary!$B$13,Summary!$B$14,$AE$10,1),0)</f>
        <v>-75256.58704622036</v>
      </c>
      <c r="J36" s="35">
        <f>+H36*Summary!$B$13</f>
        <v>15515.4183932106</v>
      </c>
      <c r="K36" s="23">
        <f>IF(Summary!$B$23-Data!G36&lt;&gt;0,0,(Data!L35+I36+J36))</f>
        <v>0</v>
      </c>
      <c r="L36" s="23">
        <f t="shared" si="6"/>
        <v>134201.56126212276</v>
      </c>
      <c r="N36" s="23">
        <f t="shared" si="7"/>
        <v>75256.58704622036</v>
      </c>
      <c r="Z36" s="37">
        <f t="shared" si="8"/>
        <v>84</v>
      </c>
      <c r="AA36" s="7" t="s">
        <v>39</v>
      </c>
      <c r="AB36" s="7">
        <f t="shared" si="9"/>
        <v>62511.73860170694</v>
      </c>
      <c r="AC36" s="10">
        <f t="shared" si="3"/>
        <v>-67512.67768984273</v>
      </c>
      <c r="AD36" s="7">
        <f>+AB36*Summary!$B$13</f>
        <v>5000.939088136555</v>
      </c>
      <c r="AE36" s="7">
        <f t="shared" si="4"/>
        <v>7.576090865768492E-10</v>
      </c>
    </row>
    <row r="37" spans="2:14" ht="15">
      <c r="B37" s="16">
        <v>19</v>
      </c>
      <c r="C37" s="7">
        <f>IF(B37&lt;=Summary!$B$23,Data!C36*(1+Summary!$B$7),)</f>
        <v>0</v>
      </c>
      <c r="D37" s="8">
        <f t="shared" si="5"/>
        <v>0</v>
      </c>
      <c r="E37" s="7">
        <f>+E36*(1+Summary!$B$7)</f>
        <v>0</v>
      </c>
      <c r="G37" s="11">
        <v>19</v>
      </c>
      <c r="H37" s="35">
        <f t="shared" si="10"/>
        <v>134201.56126212276</v>
      </c>
      <c r="I37" s="35">
        <f>IF(H37&gt;0,PMT(Summary!$B$13,Summary!$B$14,$AE$10,1),0)</f>
        <v>-75256.58704622036</v>
      </c>
      <c r="J37" s="35">
        <f>+H37*Summary!$B$13</f>
        <v>10736.12490096982</v>
      </c>
      <c r="K37" s="23">
        <f>IF(Summary!$B$23-Data!G37&lt;&gt;0,0,(Data!L36+I37+J37))</f>
        <v>0</v>
      </c>
      <c r="L37" s="23">
        <f t="shared" si="6"/>
        <v>69681.09911687222</v>
      </c>
      <c r="N37" s="23">
        <f t="shared" si="7"/>
        <v>75256.58704622036</v>
      </c>
    </row>
    <row r="38" spans="2:14" ht="15">
      <c r="B38" s="16">
        <v>20</v>
      </c>
      <c r="C38" s="7">
        <f>IF(B38&lt;=Summary!$B$23,Data!C37*(1+Summary!$B$7),)</f>
        <v>0</v>
      </c>
      <c r="D38" s="8">
        <f t="shared" si="5"/>
        <v>0</v>
      </c>
      <c r="E38" s="7">
        <f>+E37*(1+Summary!$B$7)</f>
        <v>0</v>
      </c>
      <c r="G38" s="11">
        <v>20</v>
      </c>
      <c r="H38" s="35">
        <f t="shared" si="10"/>
        <v>69681.09911687222</v>
      </c>
      <c r="I38" s="35">
        <f>IF(H38&gt;0,PMT(Summary!$B$13,Summary!$B$14,$AE$10,1),0)</f>
        <v>-75256.58704622036</v>
      </c>
      <c r="J38" s="35">
        <f>+H38*Summary!$B$13</f>
        <v>5574.487929349778</v>
      </c>
      <c r="K38" s="23">
        <f>IF(Summary!$B$23-Data!G38&lt;&gt;0,0,(Data!L37+I38+J38))</f>
        <v>-0.9999999983574526</v>
      </c>
      <c r="L38" s="23">
        <f t="shared" si="6"/>
        <v>0</v>
      </c>
      <c r="N38" s="23">
        <f t="shared" si="7"/>
        <v>75255.587046222</v>
      </c>
    </row>
    <row r="39" spans="2:14" ht="15">
      <c r="B39" s="16">
        <v>21</v>
      </c>
      <c r="C39" s="7">
        <f>IF(B39&lt;=Summary!$B$23,Data!C38*(1+Summary!$B$7),)</f>
        <v>0</v>
      </c>
      <c r="D39" s="8">
        <f t="shared" si="5"/>
        <v>0</v>
      </c>
      <c r="E39" s="7">
        <f>+E38*(1+Summary!$B$7)</f>
        <v>0</v>
      </c>
      <c r="G39" s="11">
        <v>21</v>
      </c>
      <c r="H39" s="35">
        <f t="shared" si="10"/>
        <v>0</v>
      </c>
      <c r="I39" s="35">
        <f>IF(H39&gt;0,PMT(Summary!$B$13,Summary!$B$14,$Z$10,1),0)</f>
        <v>0</v>
      </c>
      <c r="J39" s="35">
        <f>+H39*Summary!$B$13</f>
        <v>0</v>
      </c>
      <c r="K39" s="23">
        <f>IF(Summary!$B$23-Data!G39&lt;&gt;0,0,(Data!L38+I39+J39))</f>
        <v>0</v>
      </c>
      <c r="L39" s="23">
        <f aca="true" t="shared" si="11" ref="L39:L48">SUM(H39:J39)</f>
        <v>0</v>
      </c>
      <c r="N39" s="23">
        <f t="shared" si="7"/>
        <v>0</v>
      </c>
    </row>
    <row r="40" spans="2:14" ht="15">
      <c r="B40" s="16">
        <v>22</v>
      </c>
      <c r="C40" s="7">
        <f>IF(B40&lt;=Summary!$B$23,Data!C39*(1+Summary!$B$7),)</f>
        <v>0</v>
      </c>
      <c r="D40" s="8">
        <f t="shared" si="5"/>
        <v>0</v>
      </c>
      <c r="E40" s="7">
        <f>+E39*(1+Summary!$B$7)</f>
        <v>0</v>
      </c>
      <c r="G40" s="11">
        <v>22</v>
      </c>
      <c r="H40" s="35">
        <f t="shared" si="10"/>
        <v>0</v>
      </c>
      <c r="I40" s="35">
        <f>IF(H40&gt;0,PMT(Summary!$B$13,Summary!$B$14,$Z$10,1),0)</f>
        <v>0</v>
      </c>
      <c r="J40" s="35">
        <f>+H40*Summary!$B$13</f>
        <v>0</v>
      </c>
      <c r="K40" s="23">
        <f>IF(Summary!$B$23-Data!G40&lt;&gt;0,0,(Data!L39+I40+J40))</f>
        <v>0</v>
      </c>
      <c r="L40" s="23">
        <f t="shared" si="11"/>
        <v>0</v>
      </c>
      <c r="N40" s="23">
        <f t="shared" si="7"/>
        <v>0</v>
      </c>
    </row>
    <row r="41" spans="2:14" ht="15">
      <c r="B41" s="16">
        <v>23</v>
      </c>
      <c r="C41" s="7">
        <f>IF(B41&lt;=Summary!$B$23,Data!C40*(1+Summary!$B$7),)</f>
        <v>0</v>
      </c>
      <c r="D41" s="8">
        <f t="shared" si="5"/>
        <v>0</v>
      </c>
      <c r="E41" s="7">
        <f>+E40*(1+Summary!$B$7)</f>
        <v>0</v>
      </c>
      <c r="G41" s="11">
        <v>23</v>
      </c>
      <c r="H41" s="35">
        <f t="shared" si="10"/>
        <v>0</v>
      </c>
      <c r="I41" s="35">
        <f>IF(H41&gt;0,PMT(Summary!$B$13,Summary!$B$14,$Z$10,1),0)</f>
        <v>0</v>
      </c>
      <c r="J41" s="35">
        <f>+H41*Summary!$B$13</f>
        <v>0</v>
      </c>
      <c r="K41" s="23">
        <f>IF(Summary!$B$23-Data!G41&lt;&gt;0,0,(Data!L40+I41+J41))</f>
        <v>0</v>
      </c>
      <c r="L41" s="23">
        <f t="shared" si="11"/>
        <v>0</v>
      </c>
      <c r="N41" s="23">
        <f t="shared" si="7"/>
        <v>0</v>
      </c>
    </row>
    <row r="42" spans="2:14" ht="15">
      <c r="B42" s="16">
        <v>24</v>
      </c>
      <c r="C42" s="7">
        <f>IF(B42&lt;=Summary!$B$23,Data!C41*(1+Summary!$B$7),)</f>
        <v>0</v>
      </c>
      <c r="D42" s="8">
        <f t="shared" si="5"/>
        <v>0</v>
      </c>
      <c r="E42" s="7">
        <f>+E41*(1+Summary!$B$7)</f>
        <v>0</v>
      </c>
      <c r="G42" s="11">
        <v>24</v>
      </c>
      <c r="H42" s="35">
        <f t="shared" si="10"/>
        <v>0</v>
      </c>
      <c r="I42" s="35">
        <f>IF(H42&gt;0,PMT(Summary!$B$13,Summary!$B$14,$Z$10,1),0)</f>
        <v>0</v>
      </c>
      <c r="J42" s="35">
        <f>+H42*Summary!$B$13</f>
        <v>0</v>
      </c>
      <c r="K42" s="23">
        <f>IF(Summary!$B$23-Data!G42&lt;&gt;0,0,(Data!L41+I42+J42))</f>
        <v>0</v>
      </c>
      <c r="L42" s="23">
        <f t="shared" si="11"/>
        <v>0</v>
      </c>
      <c r="N42" s="23">
        <f t="shared" si="7"/>
        <v>0</v>
      </c>
    </row>
    <row r="43" spans="2:14" ht="15">
      <c r="B43" s="16">
        <v>25</v>
      </c>
      <c r="C43" s="7">
        <f>IF(B43&lt;=Summary!$B$23,Data!C42*(1+Summary!$B$7),)</f>
        <v>0</v>
      </c>
      <c r="D43" s="8">
        <f t="shared" si="5"/>
        <v>0</v>
      </c>
      <c r="E43" s="7">
        <f>+E42*(1+Summary!$B$7)</f>
        <v>0</v>
      </c>
      <c r="G43" s="11">
        <v>25</v>
      </c>
      <c r="H43" s="35">
        <f t="shared" si="10"/>
        <v>0</v>
      </c>
      <c r="I43" s="35">
        <f>IF(H43&gt;0,PMT(Summary!$B$13,Summary!$B$14,$Z$10,1),0)</f>
        <v>0</v>
      </c>
      <c r="J43" s="35">
        <f>+H43*Summary!$B$13</f>
        <v>0</v>
      </c>
      <c r="K43" s="23">
        <f>IF(Summary!$B$23-Data!G43&lt;&gt;0,0,(Data!L42+I43+J43))</f>
        <v>0</v>
      </c>
      <c r="L43" s="23">
        <f t="shared" si="11"/>
        <v>0</v>
      </c>
      <c r="N43" s="23">
        <f t="shared" si="7"/>
        <v>0</v>
      </c>
    </row>
    <row r="44" spans="2:14" ht="15">
      <c r="B44" s="16">
        <v>26</v>
      </c>
      <c r="C44" s="7">
        <f>IF(B44&lt;=Summary!$B$23,Data!C43*(1+Summary!$B$7),)</f>
        <v>0</v>
      </c>
      <c r="D44" s="8">
        <f t="shared" si="5"/>
        <v>0</v>
      </c>
      <c r="E44" s="7">
        <f>+E43*(1+Summary!$B$7)</f>
        <v>0</v>
      </c>
      <c r="G44" s="11">
        <v>26</v>
      </c>
      <c r="H44" s="35">
        <f t="shared" si="10"/>
        <v>0</v>
      </c>
      <c r="I44" s="35">
        <f>IF(H44&gt;0,PMT(Summary!$B$13,Summary!$B$14,$Z$10,1),0)</f>
        <v>0</v>
      </c>
      <c r="J44" s="35">
        <f>+H44*Summary!$B$13</f>
        <v>0</v>
      </c>
      <c r="K44" s="23">
        <f>IF(Summary!$B$23-Data!G44&lt;&gt;0,0,(Data!L43+I44+J44))</f>
        <v>0</v>
      </c>
      <c r="L44" s="23">
        <f t="shared" si="11"/>
        <v>0</v>
      </c>
      <c r="N44" s="23">
        <f t="shared" si="7"/>
        <v>0</v>
      </c>
    </row>
    <row r="45" spans="2:14" ht="15">
      <c r="B45" s="16">
        <v>27</v>
      </c>
      <c r="C45" s="7">
        <f>IF(B45&lt;=Summary!$B$23,Data!C44*(1+Summary!$B$7),)</f>
        <v>0</v>
      </c>
      <c r="D45" s="8">
        <f t="shared" si="5"/>
        <v>0</v>
      </c>
      <c r="E45" s="7">
        <f>+E44*(1+Summary!$B$7)</f>
        <v>0</v>
      </c>
      <c r="G45" s="11">
        <v>27</v>
      </c>
      <c r="H45" s="35">
        <f t="shared" si="10"/>
        <v>0</v>
      </c>
      <c r="I45" s="35">
        <f>IF(H45&gt;0,PMT(Summary!$B$13,Summary!$B$14,$Z$10,1),0)</f>
        <v>0</v>
      </c>
      <c r="J45" s="35">
        <f>+H45*Summary!$B$13</f>
        <v>0</v>
      </c>
      <c r="K45" s="23">
        <f>IF(Summary!$B$23-Data!G45&lt;&gt;0,0,(Data!L44+I45+J45))</f>
        <v>0</v>
      </c>
      <c r="L45" s="23">
        <f t="shared" si="11"/>
        <v>0</v>
      </c>
      <c r="N45" s="23">
        <f t="shared" si="7"/>
        <v>0</v>
      </c>
    </row>
    <row r="46" spans="2:14" ht="15">
      <c r="B46" s="16">
        <v>28</v>
      </c>
      <c r="C46" s="7">
        <f>IF(B46&lt;=Summary!$B$23,Data!C45*(1+Summary!$B$7),)</f>
        <v>0</v>
      </c>
      <c r="D46" s="8">
        <f t="shared" si="5"/>
        <v>0</v>
      </c>
      <c r="E46" s="7">
        <f>+E45*(1+Summary!$B$7)</f>
        <v>0</v>
      </c>
      <c r="G46" s="11">
        <v>28</v>
      </c>
      <c r="H46" s="35">
        <f t="shared" si="10"/>
        <v>0</v>
      </c>
      <c r="I46" s="35">
        <f>IF(H46&gt;0,PMT(Summary!$B$13,Summary!$B$14,$Z$10,1),0)</f>
        <v>0</v>
      </c>
      <c r="J46" s="35">
        <f>+H46*Summary!$B$13</f>
        <v>0</v>
      </c>
      <c r="K46" s="23">
        <f>IF(Summary!$B$23-Data!G46&lt;&gt;0,0,(Data!L45+I46+J46))</f>
        <v>0</v>
      </c>
      <c r="L46" s="23">
        <f t="shared" si="11"/>
        <v>0</v>
      </c>
      <c r="N46" s="23">
        <f t="shared" si="7"/>
        <v>0</v>
      </c>
    </row>
    <row r="47" spans="2:14" ht="15">
      <c r="B47" s="16">
        <v>29</v>
      </c>
      <c r="C47" s="7">
        <f>IF(B47&lt;=Summary!$B$23,Data!C46*(1+Summary!$B$7),)</f>
        <v>0</v>
      </c>
      <c r="D47" s="8">
        <f t="shared" si="5"/>
        <v>0</v>
      </c>
      <c r="E47" s="7">
        <f>+E46*(1+Summary!$B$7)</f>
        <v>0</v>
      </c>
      <c r="G47" s="11">
        <v>29</v>
      </c>
      <c r="H47" s="35">
        <f t="shared" si="10"/>
        <v>0</v>
      </c>
      <c r="I47" s="35">
        <f>IF(H47&gt;0,PMT(Summary!$B$13,Summary!$B$14,$Z$10,1),0)</f>
        <v>0</v>
      </c>
      <c r="J47" s="35">
        <f>+H47*Summary!$B$13</f>
        <v>0</v>
      </c>
      <c r="K47" s="23">
        <f>IF(Summary!$B$23-Data!G47&lt;&gt;0,0,(Data!L46+I47+J47))</f>
        <v>0</v>
      </c>
      <c r="L47" s="23">
        <f t="shared" si="11"/>
        <v>0</v>
      </c>
      <c r="N47" s="23">
        <f t="shared" si="7"/>
        <v>0</v>
      </c>
    </row>
    <row r="48" spans="2:14" ht="15">
      <c r="B48" s="16">
        <v>30</v>
      </c>
      <c r="C48" s="7">
        <f>IF(B48&lt;=Summary!$B$23,Data!C47*(1+Summary!$B$7),)</f>
        <v>0</v>
      </c>
      <c r="D48" s="8">
        <f t="shared" si="5"/>
        <v>0</v>
      </c>
      <c r="E48" s="7">
        <f>+E47*(1+Summary!$B$7)</f>
        <v>0</v>
      </c>
      <c r="G48" s="11">
        <v>30</v>
      </c>
      <c r="H48" s="35">
        <f t="shared" si="10"/>
        <v>0</v>
      </c>
      <c r="I48" s="35">
        <f>IF(H48&gt;0,PMT(Summary!$B$13,Summary!$B$14,$Z$10,1),0)</f>
        <v>0</v>
      </c>
      <c r="J48" s="35">
        <f>+H48*Summary!$B$10</f>
        <v>0</v>
      </c>
      <c r="K48" s="23">
        <f>IF(Summary!$B$23-Data!G48&lt;&gt;0,0,(Data!L47+I48+J48))</f>
        <v>0</v>
      </c>
      <c r="L48" s="23">
        <f t="shared" si="11"/>
        <v>0</v>
      </c>
      <c r="N48" s="23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  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Shearer</dc:creator>
  <cp:keywords/>
  <dc:description/>
  <cp:lastModifiedBy>Marc R. Feldesman</cp:lastModifiedBy>
  <cp:lastPrinted>2003-04-10T16:00:39Z</cp:lastPrinted>
  <dcterms:created xsi:type="dcterms:W3CDTF">2003-02-05T17:28:41Z</dcterms:created>
  <dcterms:modified xsi:type="dcterms:W3CDTF">2003-04-17T14:43:44Z</dcterms:modified>
  <cp:category/>
  <cp:version/>
  <cp:contentType/>
  <cp:contentStatus/>
</cp:coreProperties>
</file>